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 codeName="ThisWorkbook"/>
  <bookViews>
    <workbookView visibility="visible" minimized="0" showHorizontalScroll="1" showVerticalScroll="1" showSheetTabs="1" xWindow="-120" yWindow="-120" windowWidth="29040" windowHeight="15720" tabRatio="600" firstSheet="0" activeTab="0" autoFilterDateGrouping="1"/>
  </bookViews>
  <sheets>
    <sheet xmlns:r="http://schemas.openxmlformats.org/officeDocument/2006/relationships" name="Finalized Team Stats" sheetId="1" state="visible" r:id="rId1"/>
    <sheet xmlns:r="http://schemas.openxmlformats.org/officeDocument/2006/relationships" name="Rank and Stat Check" sheetId="2" state="visible" r:id="rId2"/>
    <sheet xmlns:r="http://schemas.openxmlformats.org/officeDocument/2006/relationships" name="Raw Data" sheetId="3" state="visible" r:id="rId3"/>
    <sheet xmlns:r="http://schemas.openxmlformats.org/officeDocument/2006/relationships" name="Helpers" sheetId="4" state="visible" r:id="rId4"/>
    <sheet xmlns:r="http://schemas.openxmlformats.org/officeDocument/2006/relationships" name="Team_Summary" sheetId="5" state="visible" r:id="rId5"/>
  </sheets>
  <definedNames>
    <definedName name="bundesliga_average_goals">#REF!</definedName>
    <definedName name="bundesliga_average_goals_23">#REF!</definedName>
    <definedName name="competition">#REF!</definedName>
    <definedName name="competition_code">#REF!</definedName>
    <definedName name="epl_average_goals">#REF!</definedName>
    <definedName name="epl_average_goals_23">#REF!</definedName>
    <definedName name="home_advantage">#REF!</definedName>
    <definedName name="laliga_average_goals">#REF!</definedName>
    <definedName name="laliga_average_goals_23">#REF!</definedName>
    <definedName name="ligue_1_average_goals">#REF!</definedName>
    <definedName name="ligue_1_average_goals_23">#REF!</definedName>
    <definedName name="serie_a_average_goals">#REF!</definedName>
    <definedName name="serie_a_average_goals_23">#REF!</definedName>
    <definedName name="bundesliga_table_24_fbref" localSheetId="2">'Raw Data'!#REF!</definedName>
    <definedName name="epl_table_24_fbref" localSheetId="2">'Raw Data'!$A$1:$AF$574</definedName>
    <definedName name="laliga_table_24_fbref" localSheetId="2">'Raw Data'!#REF!</definedName>
    <definedName name="ligue1_table_24_fbref" localSheetId="2">'Raw Data'!#REF!</definedName>
    <definedName name="serie_a_table_24_fbref" localSheetId="2">'Raw Data'!#REF!</definedName>
    <definedName name="_xlnm._FilterDatabase" localSheetId="4" hidden="1">'Team_Summary'!$A$1:$HL$21</definedName>
  </definedNames>
  <calcPr calcId="191029" fullCalcOnLoad="1"/>
</workbook>
</file>

<file path=xl/styles.xml><?xml version="1.0" encoding="utf-8"?>
<styleSheet xmlns="http://schemas.openxmlformats.org/spreadsheetml/2006/main">
  <numFmts count="1">
    <numFmt numFmtId="164" formatCode="0.000"/>
  </numFmts>
  <fonts count="17">
    <font>
      <name val="Calibri"/>
      <family val="2"/>
      <color theme="1"/>
      <sz val="12"/>
      <scheme val="minor"/>
    </font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color theme="1"/>
      <sz val="10"/>
      <scheme val="minor"/>
    </font>
    <font>
      <name val="Calibri"/>
      <family val="2"/>
      <color theme="10"/>
      <sz val="12"/>
      <u val="single"/>
      <scheme val="minor"/>
    </font>
    <font>
      <name val="Calibri"/>
      <family val="2"/>
      <b val="1"/>
      <color theme="1"/>
      <sz val="12"/>
      <scheme val="minor"/>
    </font>
    <font>
      <name val="Calibri"/>
      <family val="2"/>
      <color theme="0"/>
      <sz val="11"/>
      <scheme val="minor"/>
    </font>
    <font>
      <name val="Calibri"/>
      <family val="2"/>
      <b val="1"/>
      <color theme="0"/>
      <sz val="18"/>
      <scheme val="minor"/>
    </font>
    <font>
      <name val="Calibri"/>
      <family val="2"/>
      <i val="1"/>
      <color theme="1"/>
      <sz val="14"/>
      <scheme val="minor"/>
    </font>
    <font>
      <name val="Arial"/>
      <family val="2"/>
      <b val="1"/>
      <color rgb="FF000000"/>
      <sz val="12"/>
    </font>
    <font>
      <name val="Arial"/>
      <family val="2"/>
      <color rgb="FF000000"/>
      <sz val="12"/>
    </font>
    <font>
      <name val="Arial"/>
      <family val="2"/>
      <b val="1"/>
      <color rgb="FF000000"/>
      <sz val="10"/>
    </font>
    <font>
      <name val="Arial"/>
      <family val="2"/>
      <color rgb="FF000000"/>
      <sz val="10"/>
    </font>
    <font>
      <name val="Calibri"/>
      <family val="2"/>
      <b val="1"/>
      <color theme="1"/>
      <sz val="16"/>
      <scheme val="minor"/>
    </font>
    <font>
      <name val="Calibri"/>
      <family val="2"/>
      <b val="1"/>
      <color theme="0"/>
      <sz val="11"/>
      <scheme val="minor"/>
    </font>
    <font>
      <name val="Arial"/>
      <family val="2"/>
      <color rgb="FF000000"/>
      <sz val="11"/>
    </font>
    <font>
      <name val="Calibri"/>
      <b val="1"/>
      <color rgb="FFFFFFFF"/>
      <sz val="11"/>
    </font>
  </fonts>
  <fills count="10">
    <fill>
      <patternFill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B3040"/>
        <bgColor indexed="64"/>
      </patternFill>
    </fill>
    <fill>
      <patternFill patternType="solid">
        <fgColor rgb="FFDAE9F8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theme="3" tint="0.5999938962981048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366092"/>
        <bgColor rgb="FF36609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theme="0" tint="-0.249946592608417"/>
      </left>
      <right/>
      <top style="thin">
        <color theme="0" tint="-0.249946592608417"/>
      </top>
      <bottom style="thin">
        <color theme="0" tint="-0.249946592608417"/>
      </bottom>
      <diagonal/>
    </border>
    <border>
      <left/>
      <right/>
      <top style="thin">
        <color theme="0" tint="-0.249946592608417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2" fillId="0" borderId="0"/>
    <xf numFmtId="0" fontId="2" fillId="0" borderId="0"/>
  </cellStyleXfs>
  <cellXfs count="47">
    <xf numFmtId="0" fontId="0" fillId="0" borderId="0" pivotButton="0" quotePrefix="0" xfId="0"/>
    <xf numFmtId="0" fontId="4" fillId="2" borderId="0" applyAlignment="1" pivotButton="0" quotePrefix="0" xfId="1">
      <alignment vertical="center" wrapText="1"/>
    </xf>
    <xf numFmtId="2" fontId="0" fillId="0" borderId="0" pivotButton="0" quotePrefix="0" xfId="0"/>
    <xf numFmtId="0" fontId="4" fillId="2" borderId="0" applyAlignment="1" pivotButton="0" quotePrefix="0" xfId="1">
      <alignment horizontal="center" vertical="center" wrapText="1"/>
    </xf>
    <xf numFmtId="0" fontId="8" fillId="0" borderId="0" pivotButton="0" quotePrefix="0" xfId="0"/>
    <xf numFmtId="0" fontId="6" fillId="3" borderId="1" pivotButton="0" quotePrefix="0" xfId="0"/>
    <xf numFmtId="0" fontId="5" fillId="4" borderId="3" applyAlignment="1" pivotButton="0" quotePrefix="0" xfId="0">
      <alignment horizontal="center"/>
    </xf>
    <xf numFmtId="0" fontId="5" fillId="4" borderId="4" applyAlignment="1" pivotButton="0" quotePrefix="0" xfId="0">
      <alignment horizontal="center"/>
    </xf>
    <xf numFmtId="0" fontId="5" fillId="4" borderId="5" applyAlignment="1" pivotButton="0" quotePrefix="0" xfId="0">
      <alignment horizontal="center"/>
    </xf>
    <xf numFmtId="0" fontId="7" fillId="3" borderId="1" pivotButton="0" quotePrefix="0" xfId="0"/>
    <xf numFmtId="0" fontId="9" fillId="2" borderId="0" applyAlignment="1" pivotButton="0" quotePrefix="0" xfId="0">
      <alignment horizontal="center" vertical="center" wrapText="1"/>
    </xf>
    <xf numFmtId="0" fontId="10" fillId="2" borderId="0" applyAlignment="1" pivotButton="0" quotePrefix="0" xfId="0">
      <alignment vertical="center" wrapText="1"/>
    </xf>
    <xf numFmtId="0" fontId="11" fillId="2" borderId="0" applyAlignment="1" pivotButton="0" quotePrefix="0" xfId="0">
      <alignment horizontal="center" vertical="center" wrapText="1"/>
    </xf>
    <xf numFmtId="0" fontId="12" fillId="2" borderId="0" applyAlignment="1" pivotButton="0" quotePrefix="0" xfId="0">
      <alignment vertical="center" wrapText="1"/>
    </xf>
    <xf numFmtId="0" fontId="3" fillId="4" borderId="4" applyAlignment="1" pivotButton="0" quotePrefix="0" xfId="0">
      <alignment horizontal="center"/>
    </xf>
    <xf numFmtId="0" fontId="0" fillId="0" borderId="2" applyAlignment="1" pivotButton="0" quotePrefix="0" xfId="0">
      <alignment horizontal="center" vertical="center"/>
    </xf>
    <xf numFmtId="2" fontId="0" fillId="0" borderId="2" applyAlignment="1" pivotButton="0" quotePrefix="0" xfId="0">
      <alignment horizontal="center" vertical="center"/>
    </xf>
    <xf numFmtId="1" fontId="0" fillId="0" borderId="2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  <xf numFmtId="0" fontId="13" fillId="0" borderId="0" pivotButton="0" quotePrefix="0" xfId="0"/>
    <xf numFmtId="0" fontId="0" fillId="0" borderId="2" applyAlignment="1" pivotButton="0" quotePrefix="0" xfId="0">
      <alignment horizontal="center" vertical="center" wrapText="1"/>
    </xf>
    <xf numFmtId="0" fontId="0" fillId="0" borderId="0" applyAlignment="1" pivotButton="0" quotePrefix="0" xfId="0">
      <alignment wrapText="1"/>
    </xf>
    <xf numFmtId="0" fontId="0" fillId="5" borderId="2" applyAlignment="1" pivotButton="0" quotePrefix="0" xfId="0">
      <alignment horizontal="center" vertical="center" wrapText="1"/>
    </xf>
    <xf numFmtId="0" fontId="0" fillId="6" borderId="2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center" wrapText="1"/>
    </xf>
    <xf numFmtId="0" fontId="0" fillId="7" borderId="2" applyAlignment="1" pivotButton="0" quotePrefix="0" xfId="0">
      <alignment horizontal="center" vertical="center"/>
    </xf>
    <xf numFmtId="0" fontId="0" fillId="7" borderId="2" applyAlignment="1" pivotButton="0" quotePrefix="0" xfId="0">
      <alignment horizontal="center" vertical="center" wrapText="1"/>
    </xf>
    <xf numFmtId="164" fontId="0" fillId="0" borderId="0" pivotButton="0" quotePrefix="0" xfId="0"/>
    <xf numFmtId="0" fontId="6" fillId="8" borderId="0" pivotButton="0" quotePrefix="0" xfId="0"/>
    <xf numFmtId="0" fontId="14" fillId="8" borderId="0" applyAlignment="1" pivotButton="0" quotePrefix="0" xfId="0">
      <alignment horizontal="center" wrapText="1"/>
    </xf>
    <xf numFmtId="0" fontId="0" fillId="0" borderId="0" applyAlignment="1" pivotButton="0" quotePrefix="0" xfId="0">
      <alignment horizontal="right"/>
    </xf>
    <xf numFmtId="4" fontId="0" fillId="0" borderId="2" applyAlignment="1" pivotButton="0" quotePrefix="0" xfId="0">
      <alignment horizontal="center" vertical="center"/>
    </xf>
    <xf numFmtId="0" fontId="6" fillId="8" borderId="0" applyAlignment="1" pivotButton="0" quotePrefix="0" xfId="0">
      <alignment horizontal="center"/>
    </xf>
    <xf numFmtId="0" fontId="6" fillId="8" borderId="0" applyAlignment="1" pivotButton="0" quotePrefix="0" xfId="0">
      <alignment wrapText="1"/>
    </xf>
    <xf numFmtId="1" fontId="0" fillId="0" borderId="0" pivotButton="0" quotePrefix="0" xfId="0"/>
    <xf numFmtId="2" fontId="0" fillId="0" borderId="0" applyAlignment="1" pivotButton="0" quotePrefix="0" xfId="0">
      <alignment horizontal="right"/>
    </xf>
    <xf numFmtId="164" fontId="0" fillId="0" borderId="2" applyAlignment="1" pivotButton="0" quotePrefix="0" xfId="0">
      <alignment horizontal="center" vertical="center"/>
    </xf>
    <xf numFmtId="3" fontId="10" fillId="2" borderId="0" applyAlignment="1" pivotButton="0" quotePrefix="0" xfId="0">
      <alignment vertical="center" wrapText="1"/>
    </xf>
    <xf numFmtId="3" fontId="12" fillId="2" borderId="0" applyAlignment="1" pivotButton="0" quotePrefix="0" xfId="0">
      <alignment vertical="center" wrapText="1"/>
    </xf>
    <xf numFmtId="0" fontId="2" fillId="0" borderId="0" pivotButton="0" quotePrefix="0" xfId="2"/>
    <xf numFmtId="0" fontId="1" fillId="0" borderId="0" pivotButton="0" quotePrefix="0" xfId="3"/>
    <xf numFmtId="0" fontId="16" fillId="9" borderId="6" applyAlignment="1" pivotButton="0" quotePrefix="0" xfId="3">
      <alignment horizontal="center"/>
    </xf>
    <xf numFmtId="0" fontId="14" fillId="8" borderId="0" applyAlignment="1" pivotButton="0" quotePrefix="0" xfId="0">
      <alignment horizontal="center" wrapText="1"/>
    </xf>
    <xf numFmtId="0" fontId="0" fillId="0" borderId="0" pivotButton="0" quotePrefix="0" xfId="0"/>
    <xf numFmtId="0" fontId="11" fillId="2" borderId="0" applyAlignment="1" pivotButton="0" quotePrefix="0" xfId="0">
      <alignment horizontal="center" vertical="center" wrapText="1"/>
    </xf>
    <xf numFmtId="0" fontId="15" fillId="2" borderId="0" applyAlignment="1" pivotButton="0" quotePrefix="0" xfId="0">
      <alignment horizontal="center" vertical="center"/>
    </xf>
    <xf numFmtId="0" fontId="9" fillId="2" borderId="0" applyAlignment="1" pivotButton="0" quotePrefix="0" xfId="0">
      <alignment horizontal="center" vertical="center" wrapText="1"/>
    </xf>
  </cellXfs>
  <cellStyles count="4">
    <cellStyle name="Normal" xfId="0" builtinId="0"/>
    <cellStyle name="Hyperlink" xfId="1" builtinId="8"/>
    <cellStyle name="Normal 2" xfId="2"/>
    <cellStyle name="Normal 3" xfId="3"/>
  </cellStyles>
  <tableStyles count="0" defaultTableStyle="TableStyleMedium2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Relationships xmlns="http://schemas.openxmlformats.org/package/2006/relationships"><Relationship Type="http://schemas.openxmlformats.org/officeDocument/2006/relationships/hyperlink" Target="https://fbref.com/en/squads/822bd0ba/Liverpool-Stats" TargetMode="External" Id="rId1"/><Relationship Type="http://schemas.openxmlformats.org/officeDocument/2006/relationships/hyperlink" Target="https://fbref.com/en/players/e342ad68/Mohamed-Salah" TargetMode="External" Id="rId2"/><Relationship Type="http://schemas.openxmlformats.org/officeDocument/2006/relationships/hyperlink" Target="https://fbref.com/en/players/7a2e46a8/Alisson" TargetMode="External" Id="rId3"/><Relationship Type="http://schemas.openxmlformats.org/officeDocument/2006/relationships/hyperlink" Target="https://fbref.com/en/squads/18bb7c10/Arsenal-Stats" TargetMode="External" Id="rId4"/><Relationship Type="http://schemas.openxmlformats.org/officeDocument/2006/relationships/hyperlink" Target="https://fbref.com/en/players/fed7cb61/Kai-Havertz" TargetMode="External" Id="rId5"/><Relationship Type="http://schemas.openxmlformats.org/officeDocument/2006/relationships/hyperlink" Target="https://fbref.com/en/players/98ea5115/David-Raya" TargetMode="External" Id="rId6"/><Relationship Type="http://schemas.openxmlformats.org/officeDocument/2006/relationships/hyperlink" Target="https://fbref.com/en/squads/b8fd03ef/2024-2025/Manchester-City-Stats" TargetMode="External" Id="rId7"/><Relationship Type="http://schemas.openxmlformats.org/officeDocument/2006/relationships/hyperlink" Target="https://fbref.com/en/players/1f44ac21/Erling-Haaland" TargetMode="External" Id="rId8"/><Relationship Type="http://schemas.openxmlformats.org/officeDocument/2006/relationships/hyperlink" Target="https://fbref.com/en/players/3bb7b8b4/Ederson" TargetMode="External" Id="rId9"/><Relationship Type="http://schemas.openxmlformats.org/officeDocument/2006/relationships/hyperlink" Target="https://fbref.com/en/squads/cff3d9bb/2024-2025/Chelsea-Stats" TargetMode="External" Id="rId10"/><Relationship Type="http://schemas.openxmlformats.org/officeDocument/2006/relationships/hyperlink" Target="https://fbref.com/en/players/dc7f8a28/Cole-Palmer" TargetMode="External" Id="rId11"/><Relationship Type="http://schemas.openxmlformats.org/officeDocument/2006/relationships/hyperlink" Target="https://fbref.com/en/players/6a713852/Robert-Sanchez" TargetMode="External" Id="rId12"/><Relationship Type="http://schemas.openxmlformats.org/officeDocument/2006/relationships/hyperlink" Target="https://fbref.com/en/squads/b2b47a98/Newcastle-United-Stats" TargetMode="External" Id="rId13"/><Relationship Type="http://schemas.openxmlformats.org/officeDocument/2006/relationships/hyperlink" Target="https://fbref.com/en/players/8e92be30/Alexander-Isak" TargetMode="External" Id="rId14"/><Relationship Type="http://schemas.openxmlformats.org/officeDocument/2006/relationships/hyperlink" Target="https://fbref.com/en/players/4b40d9ca/Nick-Pope" TargetMode="External" Id="rId15"/><Relationship Type="http://schemas.openxmlformats.org/officeDocument/2006/relationships/hyperlink" Target="https://fbref.com/en/squads/8602292d/Aston-Villa-Stats" TargetMode="External" Id="rId16"/><Relationship Type="http://schemas.openxmlformats.org/officeDocument/2006/relationships/hyperlink" Target="https://fbref.com/en/players/aed3a70f/Ollie-Watkins" TargetMode="External" Id="rId17"/><Relationship Type="http://schemas.openxmlformats.org/officeDocument/2006/relationships/hyperlink" Target="https://fbref.com/en/players/7956236f/Emiliano-Martinez" TargetMode="External" Id="rId18"/><Relationship Type="http://schemas.openxmlformats.org/officeDocument/2006/relationships/hyperlink" Target="https://fbref.com/en/squads/e4a775cb/Nottingham-Forest-Stats" TargetMode="External" Id="rId19"/><Relationship Type="http://schemas.openxmlformats.org/officeDocument/2006/relationships/hyperlink" Target="https://fbref.com/en/players/4e9a0555/Chris-Wood" TargetMode="External" Id="rId20"/><Relationship Type="http://schemas.openxmlformats.org/officeDocument/2006/relationships/hyperlink" Target="https://fbref.com/en/players/834b5c4c/Matz-Sels" TargetMode="External" Id="rId21"/><Relationship Type="http://schemas.openxmlformats.org/officeDocument/2006/relationships/hyperlink" Target="https://fbref.com/en/squads/d07537b9/Brighton-and-Hove-Albion-Stats" TargetMode="External" Id="rId22"/><Relationship Type="http://schemas.openxmlformats.org/officeDocument/2006/relationships/hyperlink" Target="https://fbref.com/en/players/cf134113/Bart-Verbruggen" TargetMode="External" Id="rId23"/><Relationship Type="http://schemas.openxmlformats.org/officeDocument/2006/relationships/hyperlink" Target="https://fbref.com/en/squads/4ba7cbea/Bournemouth-Stats" TargetMode="External" Id="rId24"/><Relationship Type="http://schemas.openxmlformats.org/officeDocument/2006/relationships/hyperlink" Target="https://fbref.com/en/players/4c3a6744/Justin-Kluivert" TargetMode="External" Id="rId25"/><Relationship Type="http://schemas.openxmlformats.org/officeDocument/2006/relationships/hyperlink" Target="https://fbref.com/en/players/28d596a0/Kepa-Arrizabalaga" TargetMode="External" Id="rId26"/><Relationship Type="http://schemas.openxmlformats.org/officeDocument/2006/relationships/hyperlink" Target="https://fbref.com/en/squads/cd051869/Brentford-Stats" TargetMode="External" Id="rId27"/><Relationship Type="http://schemas.openxmlformats.org/officeDocument/2006/relationships/hyperlink" Target="https://fbref.com/en/players/6afaebf2/Bryan-Mbeumo" TargetMode="External" Id="rId28"/><Relationship Type="http://schemas.openxmlformats.org/officeDocument/2006/relationships/hyperlink" Target="https://fbref.com/en/players/a92ab7be/Mark-Flekken" TargetMode="External" Id="rId29"/><Relationship Type="http://schemas.openxmlformats.org/officeDocument/2006/relationships/hyperlink" Target="https://fbref.com/en/squads/fd962109/Fulham-Stats" TargetMode="External" Id="rId30"/><Relationship Type="http://schemas.openxmlformats.org/officeDocument/2006/relationships/hyperlink" Target="https://fbref.com/en/players/b561db50/Raul-Jimenez" TargetMode="External" Id="rId31"/><Relationship Type="http://schemas.openxmlformats.org/officeDocument/2006/relationships/hyperlink" Target="https://fbref.com/en/players/2628fd2b/Bernd-Leno" TargetMode="External" Id="rId32"/><Relationship Type="http://schemas.openxmlformats.org/officeDocument/2006/relationships/hyperlink" Target="https://fbref.com/en/squads/47c64c55/Crystal-Palace-Stats" TargetMode="External" Id="rId33"/><Relationship Type="http://schemas.openxmlformats.org/officeDocument/2006/relationships/hyperlink" Target="https://fbref.com/en/players/50e6dc35/Jean-Philippe-Mateta" TargetMode="External" Id="rId34"/><Relationship Type="http://schemas.openxmlformats.org/officeDocument/2006/relationships/hyperlink" Target="https://fbref.com/en/players/e5a76dfe/Dean-Henderson" TargetMode="External" Id="rId35"/><Relationship Type="http://schemas.openxmlformats.org/officeDocument/2006/relationships/hyperlink" Target="https://fbref.com/en/squads/d3fd31cc/Everton-Stats" TargetMode="External" Id="rId36"/><Relationship Type="http://schemas.openxmlformats.org/officeDocument/2006/relationships/hyperlink" Target="https://fbref.com/en/players/5ed97752/Iliman-Ndiaye" TargetMode="External" Id="rId37"/><Relationship Type="http://schemas.openxmlformats.org/officeDocument/2006/relationships/hyperlink" Target="https://fbref.com/en/players/4806ec67/Jordan-Pickford" TargetMode="External" Id="rId38"/><Relationship Type="http://schemas.openxmlformats.org/officeDocument/2006/relationships/hyperlink" Target="https://fbref.com/en/squads/7c21e445/West-Ham-United-Stats" TargetMode="External" Id="rId39"/><Relationship Type="http://schemas.openxmlformats.org/officeDocument/2006/relationships/hyperlink" Target="https://fbref.com/en/players/79c84d1c/Jarrod-Bowen" TargetMode="External" Id="rId40"/><Relationship Type="http://schemas.openxmlformats.org/officeDocument/2006/relationships/hyperlink" Target="https://fbref.com/en/players/2f965a72/Alphonse-Areola" TargetMode="External" Id="rId41"/><Relationship Type="http://schemas.openxmlformats.org/officeDocument/2006/relationships/hyperlink" Target="https://fbref.com/en/squads/19538871/Manchester-United-Stats" TargetMode="External" Id="rId42"/><Relationship Type="http://schemas.openxmlformats.org/officeDocument/2006/relationships/hyperlink" Target="https://fbref.com/en/players/e9c0c1b2/Andre-Onana" TargetMode="External" Id="rId43"/><Relationship Type="http://schemas.openxmlformats.org/officeDocument/2006/relationships/hyperlink" Target="https://fbref.com/en/squads/8cec06e1/Wolverhampton-Wanderers-Stats" TargetMode="External" Id="rId44"/><Relationship Type="http://schemas.openxmlformats.org/officeDocument/2006/relationships/hyperlink" Target="https://fbref.com/en/players/dc62b55d/Matheus-Cunha" TargetMode="External" Id="rId45"/><Relationship Type="http://schemas.openxmlformats.org/officeDocument/2006/relationships/hyperlink" Target="https://fbref.com/en/players/903b6e8b/Jose-Sa" TargetMode="External" Id="rId46"/><Relationship Type="http://schemas.openxmlformats.org/officeDocument/2006/relationships/hyperlink" Target="https://fbref.com/en/squads/361ca564/Tottenham-Hotspur-Stats" TargetMode="External" Id="rId47"/><Relationship Type="http://schemas.openxmlformats.org/officeDocument/2006/relationships/hyperlink" Target="https://fbref.com/en/players/0cd31129/Brennan-Johnson" TargetMode="External" Id="rId48"/><Relationship Type="http://schemas.openxmlformats.org/officeDocument/2006/relationships/hyperlink" Target="https://fbref.com/en/players/77d6fd4d/Guglielmo-Vicario" TargetMode="External" Id="rId49"/><Relationship Type="http://schemas.openxmlformats.org/officeDocument/2006/relationships/hyperlink" Target="https://fbref.com/en/squads/a2d435b3/Leicester-City-Stats" TargetMode="External" Id="rId50"/><Relationship Type="http://schemas.openxmlformats.org/officeDocument/2006/relationships/hyperlink" Target="https://fbref.com/en/players/45963054/Jamie-Vardy" TargetMode="External" Id="rId51"/><Relationship Type="http://schemas.openxmlformats.org/officeDocument/2006/relationships/hyperlink" Target="https://fbref.com/en/players/c924b17d/Mads-Hermansen" TargetMode="External" Id="rId52"/><Relationship Type="http://schemas.openxmlformats.org/officeDocument/2006/relationships/hyperlink" Target="https://fbref.com/en/squads/b74092de/Ipswich-Town-Stats" TargetMode="External" Id="rId53"/><Relationship Type="http://schemas.openxmlformats.org/officeDocument/2006/relationships/hyperlink" Target="https://fbref.com/en/players/dd897ee7/Liam-Delap" TargetMode="External" Id="rId54"/><Relationship Type="http://schemas.openxmlformats.org/officeDocument/2006/relationships/hyperlink" Target="https://fbref.com/en/players/99aa1a84/Arijanet-Muric" TargetMode="External" Id="rId55"/><Relationship Type="http://schemas.openxmlformats.org/officeDocument/2006/relationships/hyperlink" Target="https://fbref.com/en/squads/33c895d4/Southampton-Stats" TargetMode="External" Id="rId56"/><Relationship Type="http://schemas.openxmlformats.org/officeDocument/2006/relationships/hyperlink" Target="https://fbref.com/en/players/c06d1086/Paul-Onuachu" TargetMode="External" Id="rId57"/><Relationship Type="http://schemas.openxmlformats.org/officeDocument/2006/relationships/hyperlink" Target="https://fbref.com/en/players/466fb2c5/Aaron-Ramsdale" TargetMode="External" Id="rId58"/><Relationship Type="http://schemas.openxmlformats.org/officeDocument/2006/relationships/hyperlink" Target="https://fbref.com/en/squads/822bd0ba/Liverpool-Stats" TargetMode="External" Id="rId59"/><Relationship Type="http://schemas.openxmlformats.org/officeDocument/2006/relationships/hyperlink" Target="https://fbref.com/en/squads/18bb7c10/Arsenal-Stats" TargetMode="External" Id="rId60"/><Relationship Type="http://schemas.openxmlformats.org/officeDocument/2006/relationships/hyperlink" Target="https://fbref.com/en/squads/b8fd03ef/2024-2025/Manchester-City-Stats" TargetMode="External" Id="rId61"/><Relationship Type="http://schemas.openxmlformats.org/officeDocument/2006/relationships/hyperlink" Target="https://fbref.com/en/squads/cff3d9bb/2024-2025/Chelsea-Stats" TargetMode="External" Id="rId62"/><Relationship Type="http://schemas.openxmlformats.org/officeDocument/2006/relationships/hyperlink" Target="https://fbref.com/en/squads/b2b47a98/Newcastle-United-Stats" TargetMode="External" Id="rId63"/><Relationship Type="http://schemas.openxmlformats.org/officeDocument/2006/relationships/hyperlink" Target="https://fbref.com/en/squads/8602292d/Aston-Villa-Stats" TargetMode="External" Id="rId64"/><Relationship Type="http://schemas.openxmlformats.org/officeDocument/2006/relationships/hyperlink" Target="https://fbref.com/en/squads/e4a775cb/Nottingham-Forest-Stats" TargetMode="External" Id="rId65"/><Relationship Type="http://schemas.openxmlformats.org/officeDocument/2006/relationships/hyperlink" Target="https://fbref.com/en/squads/d07537b9/Brighton-and-Hove-Albion-Stats" TargetMode="External" Id="rId66"/><Relationship Type="http://schemas.openxmlformats.org/officeDocument/2006/relationships/hyperlink" Target="https://fbref.com/en/squads/4ba7cbea/Bournemouth-Stats" TargetMode="External" Id="rId67"/><Relationship Type="http://schemas.openxmlformats.org/officeDocument/2006/relationships/hyperlink" Target="https://fbref.com/en/squads/cd051869/Brentford-Stats" TargetMode="External" Id="rId68"/><Relationship Type="http://schemas.openxmlformats.org/officeDocument/2006/relationships/hyperlink" Target="https://fbref.com/en/squads/fd962109/Fulham-Stats" TargetMode="External" Id="rId69"/><Relationship Type="http://schemas.openxmlformats.org/officeDocument/2006/relationships/hyperlink" Target="https://fbref.com/en/squads/47c64c55/Crystal-Palace-Stats" TargetMode="External" Id="rId70"/><Relationship Type="http://schemas.openxmlformats.org/officeDocument/2006/relationships/hyperlink" Target="https://fbref.com/en/squads/d3fd31cc/Everton-Stats" TargetMode="External" Id="rId71"/><Relationship Type="http://schemas.openxmlformats.org/officeDocument/2006/relationships/hyperlink" Target="https://fbref.com/en/squads/7c21e445/West-Ham-United-Stats" TargetMode="External" Id="rId72"/><Relationship Type="http://schemas.openxmlformats.org/officeDocument/2006/relationships/hyperlink" Target="https://fbref.com/en/squads/19538871/Manchester-United-Stats" TargetMode="External" Id="rId73"/><Relationship Type="http://schemas.openxmlformats.org/officeDocument/2006/relationships/hyperlink" Target="https://fbref.com/en/squads/8cec06e1/Wolverhampton-Wanderers-Stats" TargetMode="External" Id="rId74"/><Relationship Type="http://schemas.openxmlformats.org/officeDocument/2006/relationships/hyperlink" Target="https://fbref.com/en/squads/361ca564/Tottenham-Hotspur-Stats" TargetMode="External" Id="rId75"/><Relationship Type="http://schemas.openxmlformats.org/officeDocument/2006/relationships/hyperlink" Target="https://fbref.com/en/squads/a2d435b3/Leicester-City-Stats" TargetMode="External" Id="rId76"/><Relationship Type="http://schemas.openxmlformats.org/officeDocument/2006/relationships/hyperlink" Target="https://fbref.com/en/squads/b74092de/Ipswich-Town-Stats" TargetMode="External" Id="rId77"/><Relationship Type="http://schemas.openxmlformats.org/officeDocument/2006/relationships/hyperlink" Target="https://fbref.com/en/squads/33c895d4/Southampton-Stats" TargetMode="External" Id="rId78"/><Relationship Type="http://schemas.openxmlformats.org/officeDocument/2006/relationships/hyperlink" Target="https://fbref.com/en/squads/18bb7c10/Arsenal-Stats" TargetMode="External" Id="rId79"/><Relationship Type="http://schemas.openxmlformats.org/officeDocument/2006/relationships/hyperlink" Target="https://fbref.com/en/squads/8602292d/Aston-Villa-Stats" TargetMode="External" Id="rId80"/><Relationship Type="http://schemas.openxmlformats.org/officeDocument/2006/relationships/hyperlink" Target="https://fbref.com/en/squads/4ba7cbea/Bournemouth-Stats" TargetMode="External" Id="rId81"/><Relationship Type="http://schemas.openxmlformats.org/officeDocument/2006/relationships/hyperlink" Target="https://fbref.com/en/squads/cd051869/Brentford-Stats" TargetMode="External" Id="rId82"/><Relationship Type="http://schemas.openxmlformats.org/officeDocument/2006/relationships/hyperlink" Target="https://fbref.com/en/squads/d07537b9/Brighton-and-Hove-Albion-Stats" TargetMode="External" Id="rId83"/><Relationship Type="http://schemas.openxmlformats.org/officeDocument/2006/relationships/hyperlink" Target="https://fbref.com/en/squads/cff3d9bb/2024-2025/Chelsea-Stats" TargetMode="External" Id="rId84"/><Relationship Type="http://schemas.openxmlformats.org/officeDocument/2006/relationships/hyperlink" Target="https://fbref.com/en/squads/47c64c55/Crystal-Palace-Stats" TargetMode="External" Id="rId85"/><Relationship Type="http://schemas.openxmlformats.org/officeDocument/2006/relationships/hyperlink" Target="https://fbref.com/en/squads/d3fd31cc/Everton-Stats" TargetMode="External" Id="rId86"/><Relationship Type="http://schemas.openxmlformats.org/officeDocument/2006/relationships/hyperlink" Target="https://fbref.com/en/squads/fd962109/Fulham-Stats" TargetMode="External" Id="rId87"/><Relationship Type="http://schemas.openxmlformats.org/officeDocument/2006/relationships/hyperlink" Target="https://fbref.com/en/squads/b74092de/Ipswich-Town-Stats" TargetMode="External" Id="rId88"/><Relationship Type="http://schemas.openxmlformats.org/officeDocument/2006/relationships/hyperlink" Target="https://fbref.com/en/squads/a2d435b3/Leicester-City-Stats" TargetMode="External" Id="rId89"/><Relationship Type="http://schemas.openxmlformats.org/officeDocument/2006/relationships/hyperlink" Target="https://fbref.com/en/squads/822bd0ba/Liverpool-Stats" TargetMode="External" Id="rId90"/><Relationship Type="http://schemas.openxmlformats.org/officeDocument/2006/relationships/hyperlink" Target="https://fbref.com/en/squads/b8fd03ef/2024-2025/Manchester-City-Stats" TargetMode="External" Id="rId91"/><Relationship Type="http://schemas.openxmlformats.org/officeDocument/2006/relationships/hyperlink" Target="https://fbref.com/en/squads/19538871/Manchester-United-Stats" TargetMode="External" Id="rId92"/><Relationship Type="http://schemas.openxmlformats.org/officeDocument/2006/relationships/hyperlink" Target="https://fbref.com/en/squads/b2b47a98/Newcastle-United-Stats" TargetMode="External" Id="rId93"/><Relationship Type="http://schemas.openxmlformats.org/officeDocument/2006/relationships/hyperlink" Target="https://fbref.com/en/squads/e4a775cb/Nottingham-Forest-Stats" TargetMode="External" Id="rId94"/><Relationship Type="http://schemas.openxmlformats.org/officeDocument/2006/relationships/hyperlink" Target="https://fbref.com/en/squads/33c895d4/Southampton-Stats" TargetMode="External" Id="rId95"/><Relationship Type="http://schemas.openxmlformats.org/officeDocument/2006/relationships/hyperlink" Target="https://fbref.com/en/squads/361ca564/Tottenham-Hotspur-Stats" TargetMode="External" Id="rId96"/><Relationship Type="http://schemas.openxmlformats.org/officeDocument/2006/relationships/hyperlink" Target="https://fbref.com/en/squads/7c21e445/West-Ham-United-Stats" TargetMode="External" Id="rId97"/><Relationship Type="http://schemas.openxmlformats.org/officeDocument/2006/relationships/hyperlink" Target="https://fbref.com/en/squads/8cec06e1/Wolverhampton-Wanderers-Stats" TargetMode="External" Id="rId98"/><Relationship Type="http://schemas.openxmlformats.org/officeDocument/2006/relationships/hyperlink" Target="https://fbref.com/en/squads/18bb7c10/Arsenal-Stats" TargetMode="External" Id="rId99"/><Relationship Type="http://schemas.openxmlformats.org/officeDocument/2006/relationships/hyperlink" Target="https://fbref.com/en/squads/8602292d/Aston-Villa-Stats" TargetMode="External" Id="rId100"/><Relationship Type="http://schemas.openxmlformats.org/officeDocument/2006/relationships/hyperlink" Target="https://fbref.com/en/squads/4ba7cbea/Bournemouth-Stats" TargetMode="External" Id="rId101"/><Relationship Type="http://schemas.openxmlformats.org/officeDocument/2006/relationships/hyperlink" Target="https://fbref.com/en/squads/cd051869/Brentford-Stats" TargetMode="External" Id="rId102"/><Relationship Type="http://schemas.openxmlformats.org/officeDocument/2006/relationships/hyperlink" Target="https://fbref.com/en/squads/d07537b9/Brighton-and-Hove-Albion-Stats" TargetMode="External" Id="rId103"/><Relationship Type="http://schemas.openxmlformats.org/officeDocument/2006/relationships/hyperlink" Target="https://fbref.com/en/squads/cff3d9bb/2024-2025/Chelsea-Stats" TargetMode="External" Id="rId104"/><Relationship Type="http://schemas.openxmlformats.org/officeDocument/2006/relationships/hyperlink" Target="https://fbref.com/en/squads/47c64c55/Crystal-Palace-Stats" TargetMode="External" Id="rId105"/><Relationship Type="http://schemas.openxmlformats.org/officeDocument/2006/relationships/hyperlink" Target="https://fbref.com/en/squads/d3fd31cc/Everton-Stats" TargetMode="External" Id="rId106"/><Relationship Type="http://schemas.openxmlformats.org/officeDocument/2006/relationships/hyperlink" Target="https://fbref.com/en/squads/fd962109/Fulham-Stats" TargetMode="External" Id="rId107"/><Relationship Type="http://schemas.openxmlformats.org/officeDocument/2006/relationships/hyperlink" Target="https://fbref.com/en/squads/b74092de/Ipswich-Town-Stats" TargetMode="External" Id="rId108"/><Relationship Type="http://schemas.openxmlformats.org/officeDocument/2006/relationships/hyperlink" Target="https://fbref.com/en/squads/a2d435b3/Leicester-City-Stats" TargetMode="External" Id="rId109"/><Relationship Type="http://schemas.openxmlformats.org/officeDocument/2006/relationships/hyperlink" Target="https://fbref.com/en/squads/822bd0ba/Liverpool-Stats" TargetMode="External" Id="rId110"/><Relationship Type="http://schemas.openxmlformats.org/officeDocument/2006/relationships/hyperlink" Target="https://fbref.com/en/squads/b8fd03ef/2024-2025/Manchester-City-Stats" TargetMode="External" Id="rId111"/><Relationship Type="http://schemas.openxmlformats.org/officeDocument/2006/relationships/hyperlink" Target="https://fbref.com/en/squads/19538871/Manchester-United-Stats" TargetMode="External" Id="rId112"/><Relationship Type="http://schemas.openxmlformats.org/officeDocument/2006/relationships/hyperlink" Target="https://fbref.com/en/squads/b2b47a98/Newcastle-United-Stats" TargetMode="External" Id="rId113"/><Relationship Type="http://schemas.openxmlformats.org/officeDocument/2006/relationships/hyperlink" Target="https://fbref.com/en/squads/e4a775cb/Nottingham-Forest-Stats" TargetMode="External" Id="rId114"/><Relationship Type="http://schemas.openxmlformats.org/officeDocument/2006/relationships/hyperlink" Target="https://fbref.com/en/squads/33c895d4/Southampton-Stats" TargetMode="External" Id="rId115"/><Relationship Type="http://schemas.openxmlformats.org/officeDocument/2006/relationships/hyperlink" Target="https://fbref.com/en/squads/361ca564/Tottenham-Hotspur-Stats" TargetMode="External" Id="rId116"/><Relationship Type="http://schemas.openxmlformats.org/officeDocument/2006/relationships/hyperlink" Target="https://fbref.com/en/squads/7c21e445/West-Ham-United-Stats" TargetMode="External" Id="rId117"/><Relationship Type="http://schemas.openxmlformats.org/officeDocument/2006/relationships/hyperlink" Target="https://fbref.com/en/squads/8cec06e1/Wolverhampton-Wanderers-Stats" TargetMode="External" Id="rId118"/><Relationship Type="http://schemas.openxmlformats.org/officeDocument/2006/relationships/hyperlink" Target="https://fbref.com/en/squads/18bb7c10/Arsenal-Stats" TargetMode="External" Id="rId119"/><Relationship Type="http://schemas.openxmlformats.org/officeDocument/2006/relationships/hyperlink" Target="https://fbref.com/en/squads/8602292d/Aston-Villa-Stats" TargetMode="External" Id="rId120"/><Relationship Type="http://schemas.openxmlformats.org/officeDocument/2006/relationships/hyperlink" Target="https://fbref.com/en/squads/4ba7cbea/Bournemouth-Stats" TargetMode="External" Id="rId121"/><Relationship Type="http://schemas.openxmlformats.org/officeDocument/2006/relationships/hyperlink" Target="https://fbref.com/en/squads/cd051869/Brentford-Stats" TargetMode="External" Id="rId122"/><Relationship Type="http://schemas.openxmlformats.org/officeDocument/2006/relationships/hyperlink" Target="https://fbref.com/en/squads/d07537b9/Brighton-and-Hove-Albion-Stats" TargetMode="External" Id="rId123"/><Relationship Type="http://schemas.openxmlformats.org/officeDocument/2006/relationships/hyperlink" Target="https://fbref.com/en/squads/cff3d9bb/2024-2025/Chelsea-Stats" TargetMode="External" Id="rId124"/><Relationship Type="http://schemas.openxmlformats.org/officeDocument/2006/relationships/hyperlink" Target="https://fbref.com/en/squads/47c64c55/Crystal-Palace-Stats" TargetMode="External" Id="rId125"/><Relationship Type="http://schemas.openxmlformats.org/officeDocument/2006/relationships/hyperlink" Target="https://fbref.com/en/squads/d3fd31cc/Everton-Stats" TargetMode="External" Id="rId126"/><Relationship Type="http://schemas.openxmlformats.org/officeDocument/2006/relationships/hyperlink" Target="https://fbref.com/en/squads/fd962109/Fulham-Stats" TargetMode="External" Id="rId127"/><Relationship Type="http://schemas.openxmlformats.org/officeDocument/2006/relationships/hyperlink" Target="https://fbref.com/en/squads/b74092de/Ipswich-Town-Stats" TargetMode="External" Id="rId128"/><Relationship Type="http://schemas.openxmlformats.org/officeDocument/2006/relationships/hyperlink" Target="https://fbref.com/en/squads/a2d435b3/Leicester-City-Stats" TargetMode="External" Id="rId129"/><Relationship Type="http://schemas.openxmlformats.org/officeDocument/2006/relationships/hyperlink" Target="https://fbref.com/en/squads/822bd0ba/Liverpool-Stats" TargetMode="External" Id="rId130"/><Relationship Type="http://schemas.openxmlformats.org/officeDocument/2006/relationships/hyperlink" Target="https://fbref.com/en/squads/b8fd03ef/2024-2025/Manchester-City-Stats" TargetMode="External" Id="rId131"/><Relationship Type="http://schemas.openxmlformats.org/officeDocument/2006/relationships/hyperlink" Target="https://fbref.com/en/squads/19538871/Manchester-United-Stats" TargetMode="External" Id="rId132"/><Relationship Type="http://schemas.openxmlformats.org/officeDocument/2006/relationships/hyperlink" Target="https://fbref.com/en/squads/b2b47a98/Newcastle-United-Stats" TargetMode="External" Id="rId133"/><Relationship Type="http://schemas.openxmlformats.org/officeDocument/2006/relationships/hyperlink" Target="https://fbref.com/en/squads/e4a775cb/Nottingham-Forest-Stats" TargetMode="External" Id="rId134"/><Relationship Type="http://schemas.openxmlformats.org/officeDocument/2006/relationships/hyperlink" Target="https://fbref.com/en/squads/33c895d4/Southampton-Stats" TargetMode="External" Id="rId135"/><Relationship Type="http://schemas.openxmlformats.org/officeDocument/2006/relationships/hyperlink" Target="https://fbref.com/en/squads/361ca564/Tottenham-Hotspur-Stats" TargetMode="External" Id="rId136"/><Relationship Type="http://schemas.openxmlformats.org/officeDocument/2006/relationships/hyperlink" Target="https://fbref.com/en/squads/7c21e445/West-Ham-United-Stats" TargetMode="External" Id="rId137"/><Relationship Type="http://schemas.openxmlformats.org/officeDocument/2006/relationships/hyperlink" Target="https://fbref.com/en/squads/8cec06e1/Wolverhampton-Wanderers-Stats" TargetMode="External" Id="rId138"/><Relationship Type="http://schemas.openxmlformats.org/officeDocument/2006/relationships/hyperlink" Target="https://fbref.com/en/squads/18bb7c10/Arsenal-Stats" TargetMode="External" Id="rId139"/><Relationship Type="http://schemas.openxmlformats.org/officeDocument/2006/relationships/hyperlink" Target="https://fbref.com/en/squads/8602292d/Aston-Villa-Stats" TargetMode="External" Id="rId140"/><Relationship Type="http://schemas.openxmlformats.org/officeDocument/2006/relationships/hyperlink" Target="https://fbref.com/en/squads/4ba7cbea/Bournemouth-Stats" TargetMode="External" Id="rId141"/><Relationship Type="http://schemas.openxmlformats.org/officeDocument/2006/relationships/hyperlink" Target="https://fbref.com/en/squads/cd051869/Brentford-Stats" TargetMode="External" Id="rId142"/><Relationship Type="http://schemas.openxmlformats.org/officeDocument/2006/relationships/hyperlink" Target="https://fbref.com/en/squads/d07537b9/Brighton-and-Hove-Albion-Stats" TargetMode="External" Id="rId143"/><Relationship Type="http://schemas.openxmlformats.org/officeDocument/2006/relationships/hyperlink" Target="https://fbref.com/en/squads/cff3d9bb/2024-2025/Chelsea-Stats" TargetMode="External" Id="rId144"/><Relationship Type="http://schemas.openxmlformats.org/officeDocument/2006/relationships/hyperlink" Target="https://fbref.com/en/squads/47c64c55/Crystal-Palace-Stats" TargetMode="External" Id="rId145"/><Relationship Type="http://schemas.openxmlformats.org/officeDocument/2006/relationships/hyperlink" Target="https://fbref.com/en/squads/d3fd31cc/Everton-Stats" TargetMode="External" Id="rId146"/><Relationship Type="http://schemas.openxmlformats.org/officeDocument/2006/relationships/hyperlink" Target="https://fbref.com/en/squads/fd962109/Fulham-Stats" TargetMode="External" Id="rId147"/><Relationship Type="http://schemas.openxmlformats.org/officeDocument/2006/relationships/hyperlink" Target="https://fbref.com/en/squads/b74092de/Ipswich-Town-Stats" TargetMode="External" Id="rId148"/><Relationship Type="http://schemas.openxmlformats.org/officeDocument/2006/relationships/hyperlink" Target="https://fbref.com/en/squads/a2d435b3/Leicester-City-Stats" TargetMode="External" Id="rId149"/><Relationship Type="http://schemas.openxmlformats.org/officeDocument/2006/relationships/hyperlink" Target="https://fbref.com/en/squads/822bd0ba/Liverpool-Stats" TargetMode="External" Id="rId150"/><Relationship Type="http://schemas.openxmlformats.org/officeDocument/2006/relationships/hyperlink" Target="https://fbref.com/en/squads/b8fd03ef/2024-2025/Manchester-City-Stats" TargetMode="External" Id="rId151"/><Relationship Type="http://schemas.openxmlformats.org/officeDocument/2006/relationships/hyperlink" Target="https://fbref.com/en/squads/19538871/Manchester-United-Stats" TargetMode="External" Id="rId152"/><Relationship Type="http://schemas.openxmlformats.org/officeDocument/2006/relationships/hyperlink" Target="https://fbref.com/en/squads/b2b47a98/Newcastle-United-Stats" TargetMode="External" Id="rId153"/><Relationship Type="http://schemas.openxmlformats.org/officeDocument/2006/relationships/hyperlink" Target="https://fbref.com/en/squads/e4a775cb/Nottingham-Forest-Stats" TargetMode="External" Id="rId154"/><Relationship Type="http://schemas.openxmlformats.org/officeDocument/2006/relationships/hyperlink" Target="https://fbref.com/en/squads/33c895d4/Southampton-Stats" TargetMode="External" Id="rId155"/><Relationship Type="http://schemas.openxmlformats.org/officeDocument/2006/relationships/hyperlink" Target="https://fbref.com/en/squads/361ca564/Tottenham-Hotspur-Stats" TargetMode="External" Id="rId156"/><Relationship Type="http://schemas.openxmlformats.org/officeDocument/2006/relationships/hyperlink" Target="https://fbref.com/en/squads/7c21e445/West-Ham-United-Stats" TargetMode="External" Id="rId157"/><Relationship Type="http://schemas.openxmlformats.org/officeDocument/2006/relationships/hyperlink" Target="https://fbref.com/en/squads/8cec06e1/Wolverhampton-Wanderers-Stats" TargetMode="External" Id="rId158"/><Relationship Type="http://schemas.openxmlformats.org/officeDocument/2006/relationships/hyperlink" Target="https://fbref.com/en/squads/18bb7c10/Arsenal-Stats" TargetMode="External" Id="rId159"/><Relationship Type="http://schemas.openxmlformats.org/officeDocument/2006/relationships/hyperlink" Target="https://fbref.com/en/squads/8602292d/Aston-Villa-Stats" TargetMode="External" Id="rId160"/><Relationship Type="http://schemas.openxmlformats.org/officeDocument/2006/relationships/hyperlink" Target="https://fbref.com/en/squads/4ba7cbea/Bournemouth-Stats" TargetMode="External" Id="rId161"/><Relationship Type="http://schemas.openxmlformats.org/officeDocument/2006/relationships/hyperlink" Target="https://fbref.com/en/squads/cd051869/Brentford-Stats" TargetMode="External" Id="rId162"/><Relationship Type="http://schemas.openxmlformats.org/officeDocument/2006/relationships/hyperlink" Target="https://fbref.com/en/squads/d07537b9/Brighton-and-Hove-Albion-Stats" TargetMode="External" Id="rId163"/><Relationship Type="http://schemas.openxmlformats.org/officeDocument/2006/relationships/hyperlink" Target="https://fbref.com/en/squads/cff3d9bb/2024-2025/Chelsea-Stats" TargetMode="External" Id="rId164"/><Relationship Type="http://schemas.openxmlformats.org/officeDocument/2006/relationships/hyperlink" Target="https://fbref.com/en/squads/47c64c55/Crystal-Palace-Stats" TargetMode="External" Id="rId165"/><Relationship Type="http://schemas.openxmlformats.org/officeDocument/2006/relationships/hyperlink" Target="https://fbref.com/en/squads/d3fd31cc/Everton-Stats" TargetMode="External" Id="rId166"/><Relationship Type="http://schemas.openxmlformats.org/officeDocument/2006/relationships/hyperlink" Target="https://fbref.com/en/squads/fd962109/Fulham-Stats" TargetMode="External" Id="rId167"/><Relationship Type="http://schemas.openxmlformats.org/officeDocument/2006/relationships/hyperlink" Target="https://fbref.com/en/squads/b74092de/Ipswich-Town-Stats" TargetMode="External" Id="rId168"/><Relationship Type="http://schemas.openxmlformats.org/officeDocument/2006/relationships/hyperlink" Target="https://fbref.com/en/squads/a2d435b3/Leicester-City-Stats" TargetMode="External" Id="rId169"/><Relationship Type="http://schemas.openxmlformats.org/officeDocument/2006/relationships/hyperlink" Target="https://fbref.com/en/squads/822bd0ba/Liverpool-Stats" TargetMode="External" Id="rId170"/><Relationship Type="http://schemas.openxmlformats.org/officeDocument/2006/relationships/hyperlink" Target="https://fbref.com/en/squads/b8fd03ef/2024-2025/Manchester-City-Stats" TargetMode="External" Id="rId171"/><Relationship Type="http://schemas.openxmlformats.org/officeDocument/2006/relationships/hyperlink" Target="https://fbref.com/en/squads/19538871/Manchester-United-Stats" TargetMode="External" Id="rId172"/><Relationship Type="http://schemas.openxmlformats.org/officeDocument/2006/relationships/hyperlink" Target="https://fbref.com/en/squads/b2b47a98/Newcastle-United-Stats" TargetMode="External" Id="rId173"/><Relationship Type="http://schemas.openxmlformats.org/officeDocument/2006/relationships/hyperlink" Target="https://fbref.com/en/squads/e4a775cb/Nottingham-Forest-Stats" TargetMode="External" Id="rId174"/><Relationship Type="http://schemas.openxmlformats.org/officeDocument/2006/relationships/hyperlink" Target="https://fbref.com/en/squads/33c895d4/Southampton-Stats" TargetMode="External" Id="rId175"/><Relationship Type="http://schemas.openxmlformats.org/officeDocument/2006/relationships/hyperlink" Target="https://fbref.com/en/squads/361ca564/Tottenham-Hotspur-Stats" TargetMode="External" Id="rId176"/><Relationship Type="http://schemas.openxmlformats.org/officeDocument/2006/relationships/hyperlink" Target="https://fbref.com/en/squads/7c21e445/West-Ham-United-Stats" TargetMode="External" Id="rId177"/><Relationship Type="http://schemas.openxmlformats.org/officeDocument/2006/relationships/hyperlink" Target="https://fbref.com/en/squads/8cec06e1/Wolverhampton-Wanderers-Stats" TargetMode="External" Id="rId178"/><Relationship Type="http://schemas.openxmlformats.org/officeDocument/2006/relationships/hyperlink" Target="https://fbref.com/en/squads/18bb7c10/Arsenal-Stats" TargetMode="External" Id="rId179"/><Relationship Type="http://schemas.openxmlformats.org/officeDocument/2006/relationships/hyperlink" Target="https://fbref.com/en/squads/8602292d/Aston-Villa-Stats" TargetMode="External" Id="rId180"/><Relationship Type="http://schemas.openxmlformats.org/officeDocument/2006/relationships/hyperlink" Target="https://fbref.com/en/squads/4ba7cbea/Bournemouth-Stats" TargetMode="External" Id="rId181"/><Relationship Type="http://schemas.openxmlformats.org/officeDocument/2006/relationships/hyperlink" Target="https://fbref.com/en/squads/cd051869/Brentford-Stats" TargetMode="External" Id="rId182"/><Relationship Type="http://schemas.openxmlformats.org/officeDocument/2006/relationships/hyperlink" Target="https://fbref.com/en/squads/d07537b9/Brighton-and-Hove-Albion-Stats" TargetMode="External" Id="rId183"/><Relationship Type="http://schemas.openxmlformats.org/officeDocument/2006/relationships/hyperlink" Target="https://fbref.com/en/squads/cff3d9bb/2024-2025/Chelsea-Stats" TargetMode="External" Id="rId184"/><Relationship Type="http://schemas.openxmlformats.org/officeDocument/2006/relationships/hyperlink" Target="https://fbref.com/en/squads/47c64c55/Crystal-Palace-Stats" TargetMode="External" Id="rId185"/><Relationship Type="http://schemas.openxmlformats.org/officeDocument/2006/relationships/hyperlink" Target="https://fbref.com/en/squads/d3fd31cc/Everton-Stats" TargetMode="External" Id="rId186"/><Relationship Type="http://schemas.openxmlformats.org/officeDocument/2006/relationships/hyperlink" Target="https://fbref.com/en/squads/fd962109/Fulham-Stats" TargetMode="External" Id="rId187"/><Relationship Type="http://schemas.openxmlformats.org/officeDocument/2006/relationships/hyperlink" Target="https://fbref.com/en/squads/b74092de/Ipswich-Town-Stats" TargetMode="External" Id="rId188"/><Relationship Type="http://schemas.openxmlformats.org/officeDocument/2006/relationships/hyperlink" Target="https://fbref.com/en/squads/a2d435b3/Leicester-City-Stats" TargetMode="External" Id="rId189"/><Relationship Type="http://schemas.openxmlformats.org/officeDocument/2006/relationships/hyperlink" Target="https://fbref.com/en/squads/822bd0ba/Liverpool-Stats" TargetMode="External" Id="rId190"/><Relationship Type="http://schemas.openxmlformats.org/officeDocument/2006/relationships/hyperlink" Target="https://fbref.com/en/squads/b8fd03ef/2024-2025/Manchester-City-Stats" TargetMode="External" Id="rId191"/><Relationship Type="http://schemas.openxmlformats.org/officeDocument/2006/relationships/hyperlink" Target="https://fbref.com/en/squads/19538871/Manchester-United-Stats" TargetMode="External" Id="rId192"/><Relationship Type="http://schemas.openxmlformats.org/officeDocument/2006/relationships/hyperlink" Target="https://fbref.com/en/squads/b2b47a98/Newcastle-United-Stats" TargetMode="External" Id="rId193"/><Relationship Type="http://schemas.openxmlformats.org/officeDocument/2006/relationships/hyperlink" Target="https://fbref.com/en/squads/e4a775cb/Nottingham-Forest-Stats" TargetMode="External" Id="rId194"/><Relationship Type="http://schemas.openxmlformats.org/officeDocument/2006/relationships/hyperlink" Target="https://fbref.com/en/squads/33c895d4/Southampton-Stats" TargetMode="External" Id="rId195"/><Relationship Type="http://schemas.openxmlformats.org/officeDocument/2006/relationships/hyperlink" Target="https://fbref.com/en/squads/361ca564/Tottenham-Hotspur-Stats" TargetMode="External" Id="rId196"/><Relationship Type="http://schemas.openxmlformats.org/officeDocument/2006/relationships/hyperlink" Target="https://fbref.com/en/squads/7c21e445/West-Ham-United-Stats" TargetMode="External" Id="rId197"/><Relationship Type="http://schemas.openxmlformats.org/officeDocument/2006/relationships/hyperlink" Target="https://fbref.com/en/squads/8cec06e1/Wolverhampton-Wanderers-Stats" TargetMode="External" Id="rId198"/><Relationship Type="http://schemas.openxmlformats.org/officeDocument/2006/relationships/hyperlink" Target="https://fbref.com/en/squads/18bb7c10/Arsenal-Stats" TargetMode="External" Id="rId199"/><Relationship Type="http://schemas.openxmlformats.org/officeDocument/2006/relationships/hyperlink" Target="https://fbref.com/en/squads/8602292d/Aston-Villa-Stats" TargetMode="External" Id="rId200"/><Relationship Type="http://schemas.openxmlformats.org/officeDocument/2006/relationships/hyperlink" Target="https://fbref.com/en/squads/4ba7cbea/Bournemouth-Stats" TargetMode="External" Id="rId201"/><Relationship Type="http://schemas.openxmlformats.org/officeDocument/2006/relationships/hyperlink" Target="https://fbref.com/en/squads/cd051869/Brentford-Stats" TargetMode="External" Id="rId202"/><Relationship Type="http://schemas.openxmlformats.org/officeDocument/2006/relationships/hyperlink" Target="https://fbref.com/en/squads/d07537b9/Brighton-and-Hove-Albion-Stats" TargetMode="External" Id="rId203"/><Relationship Type="http://schemas.openxmlformats.org/officeDocument/2006/relationships/hyperlink" Target="https://fbref.com/en/squads/cff3d9bb/2024-2025/Chelsea-Stats" TargetMode="External" Id="rId204"/><Relationship Type="http://schemas.openxmlformats.org/officeDocument/2006/relationships/hyperlink" Target="https://fbref.com/en/squads/47c64c55/Crystal-Palace-Stats" TargetMode="External" Id="rId205"/><Relationship Type="http://schemas.openxmlformats.org/officeDocument/2006/relationships/hyperlink" Target="https://fbref.com/en/squads/d3fd31cc/Everton-Stats" TargetMode="External" Id="rId206"/><Relationship Type="http://schemas.openxmlformats.org/officeDocument/2006/relationships/hyperlink" Target="https://fbref.com/en/squads/fd962109/Fulham-Stats" TargetMode="External" Id="rId207"/><Relationship Type="http://schemas.openxmlformats.org/officeDocument/2006/relationships/hyperlink" Target="https://fbref.com/en/squads/b74092de/Ipswich-Town-Stats" TargetMode="External" Id="rId208"/><Relationship Type="http://schemas.openxmlformats.org/officeDocument/2006/relationships/hyperlink" Target="https://fbref.com/en/squads/a2d435b3/Leicester-City-Stats" TargetMode="External" Id="rId209"/><Relationship Type="http://schemas.openxmlformats.org/officeDocument/2006/relationships/hyperlink" Target="https://fbref.com/en/squads/822bd0ba/Liverpool-Stats" TargetMode="External" Id="rId210"/><Relationship Type="http://schemas.openxmlformats.org/officeDocument/2006/relationships/hyperlink" Target="https://fbref.com/en/squads/b8fd03ef/2024-2025/Manchester-City-Stats" TargetMode="External" Id="rId211"/><Relationship Type="http://schemas.openxmlformats.org/officeDocument/2006/relationships/hyperlink" Target="https://fbref.com/en/squads/19538871/Manchester-United-Stats" TargetMode="External" Id="rId212"/><Relationship Type="http://schemas.openxmlformats.org/officeDocument/2006/relationships/hyperlink" Target="https://fbref.com/en/squads/b2b47a98/Newcastle-United-Stats" TargetMode="External" Id="rId213"/><Relationship Type="http://schemas.openxmlformats.org/officeDocument/2006/relationships/hyperlink" Target="https://fbref.com/en/squads/e4a775cb/Nottingham-Forest-Stats" TargetMode="External" Id="rId214"/><Relationship Type="http://schemas.openxmlformats.org/officeDocument/2006/relationships/hyperlink" Target="https://fbref.com/en/squads/33c895d4/Southampton-Stats" TargetMode="External" Id="rId215"/><Relationship Type="http://schemas.openxmlformats.org/officeDocument/2006/relationships/hyperlink" Target="https://fbref.com/en/squads/361ca564/Tottenham-Hotspur-Stats" TargetMode="External" Id="rId216"/><Relationship Type="http://schemas.openxmlformats.org/officeDocument/2006/relationships/hyperlink" Target="https://fbref.com/en/squads/7c21e445/West-Ham-United-Stats" TargetMode="External" Id="rId217"/><Relationship Type="http://schemas.openxmlformats.org/officeDocument/2006/relationships/hyperlink" Target="https://fbref.com/en/squads/8cec06e1/Wolverhampton-Wanderers-Stats" TargetMode="External" Id="rId218"/><Relationship Type="http://schemas.openxmlformats.org/officeDocument/2006/relationships/hyperlink" Target="https://fbref.com/en/squads/18bb7c10/Arsenal-Stats" TargetMode="External" Id="rId219"/><Relationship Type="http://schemas.openxmlformats.org/officeDocument/2006/relationships/hyperlink" Target="https://fbref.com/en/squads/8602292d/Aston-Villa-Stats" TargetMode="External" Id="rId220"/><Relationship Type="http://schemas.openxmlformats.org/officeDocument/2006/relationships/hyperlink" Target="https://fbref.com/en/squads/4ba7cbea/Bournemouth-Stats" TargetMode="External" Id="rId221"/><Relationship Type="http://schemas.openxmlformats.org/officeDocument/2006/relationships/hyperlink" Target="https://fbref.com/en/squads/cd051869/Brentford-Stats" TargetMode="External" Id="rId222"/><Relationship Type="http://schemas.openxmlformats.org/officeDocument/2006/relationships/hyperlink" Target="https://fbref.com/en/squads/d07537b9/Brighton-and-Hove-Albion-Stats" TargetMode="External" Id="rId223"/><Relationship Type="http://schemas.openxmlformats.org/officeDocument/2006/relationships/hyperlink" Target="https://fbref.com/en/squads/cff3d9bb/2024-2025/Chelsea-Stats" TargetMode="External" Id="rId224"/><Relationship Type="http://schemas.openxmlformats.org/officeDocument/2006/relationships/hyperlink" Target="https://fbref.com/en/squads/47c64c55/Crystal-Palace-Stats" TargetMode="External" Id="rId225"/><Relationship Type="http://schemas.openxmlformats.org/officeDocument/2006/relationships/hyperlink" Target="https://fbref.com/en/squads/d3fd31cc/Everton-Stats" TargetMode="External" Id="rId226"/><Relationship Type="http://schemas.openxmlformats.org/officeDocument/2006/relationships/hyperlink" Target="https://fbref.com/en/squads/fd962109/Fulham-Stats" TargetMode="External" Id="rId227"/><Relationship Type="http://schemas.openxmlformats.org/officeDocument/2006/relationships/hyperlink" Target="https://fbref.com/en/squads/b74092de/Ipswich-Town-Stats" TargetMode="External" Id="rId228"/><Relationship Type="http://schemas.openxmlformats.org/officeDocument/2006/relationships/hyperlink" Target="https://fbref.com/en/squads/a2d435b3/Leicester-City-Stats" TargetMode="External" Id="rId229"/><Relationship Type="http://schemas.openxmlformats.org/officeDocument/2006/relationships/hyperlink" Target="https://fbref.com/en/squads/822bd0ba/Liverpool-Stats" TargetMode="External" Id="rId230"/><Relationship Type="http://schemas.openxmlformats.org/officeDocument/2006/relationships/hyperlink" Target="https://fbref.com/en/squads/b8fd03ef/2024-2025/Manchester-City-Stats" TargetMode="External" Id="rId231"/><Relationship Type="http://schemas.openxmlformats.org/officeDocument/2006/relationships/hyperlink" Target="https://fbref.com/en/squads/19538871/Manchester-United-Stats" TargetMode="External" Id="rId232"/><Relationship Type="http://schemas.openxmlformats.org/officeDocument/2006/relationships/hyperlink" Target="https://fbref.com/en/squads/b2b47a98/Newcastle-United-Stats" TargetMode="External" Id="rId233"/><Relationship Type="http://schemas.openxmlformats.org/officeDocument/2006/relationships/hyperlink" Target="https://fbref.com/en/squads/e4a775cb/Nottingham-Forest-Stats" TargetMode="External" Id="rId234"/><Relationship Type="http://schemas.openxmlformats.org/officeDocument/2006/relationships/hyperlink" Target="https://fbref.com/en/squads/33c895d4/Southampton-Stats" TargetMode="External" Id="rId235"/><Relationship Type="http://schemas.openxmlformats.org/officeDocument/2006/relationships/hyperlink" Target="https://fbref.com/en/squads/361ca564/Tottenham-Hotspur-Stats" TargetMode="External" Id="rId236"/><Relationship Type="http://schemas.openxmlformats.org/officeDocument/2006/relationships/hyperlink" Target="https://fbref.com/en/squads/7c21e445/West-Ham-United-Stats" TargetMode="External" Id="rId237"/><Relationship Type="http://schemas.openxmlformats.org/officeDocument/2006/relationships/hyperlink" Target="https://fbref.com/en/squads/8cec06e1/Wolverhampton-Wanderers-Stats" TargetMode="External" Id="rId238"/><Relationship Type="http://schemas.openxmlformats.org/officeDocument/2006/relationships/hyperlink" Target="https://fbref.com/en/squads/18bb7c10/Arsenal-Stats" TargetMode="External" Id="rId239"/><Relationship Type="http://schemas.openxmlformats.org/officeDocument/2006/relationships/hyperlink" Target="https://fbref.com/en/squads/8602292d/Aston-Villa-Stats" TargetMode="External" Id="rId240"/><Relationship Type="http://schemas.openxmlformats.org/officeDocument/2006/relationships/hyperlink" Target="https://fbref.com/en/squads/4ba7cbea/Bournemouth-Stats" TargetMode="External" Id="rId241"/><Relationship Type="http://schemas.openxmlformats.org/officeDocument/2006/relationships/hyperlink" Target="https://fbref.com/en/squads/cd051869/Brentford-Stats" TargetMode="External" Id="rId242"/><Relationship Type="http://schemas.openxmlformats.org/officeDocument/2006/relationships/hyperlink" Target="https://fbref.com/en/squads/d07537b9/Brighton-and-Hove-Albion-Stats" TargetMode="External" Id="rId243"/><Relationship Type="http://schemas.openxmlformats.org/officeDocument/2006/relationships/hyperlink" Target="https://fbref.com/en/squads/cff3d9bb/2024-2025/Chelsea-Stats" TargetMode="External" Id="rId244"/><Relationship Type="http://schemas.openxmlformats.org/officeDocument/2006/relationships/hyperlink" Target="https://fbref.com/en/squads/47c64c55/Crystal-Palace-Stats" TargetMode="External" Id="rId245"/><Relationship Type="http://schemas.openxmlformats.org/officeDocument/2006/relationships/hyperlink" Target="https://fbref.com/en/squads/d3fd31cc/Everton-Stats" TargetMode="External" Id="rId246"/><Relationship Type="http://schemas.openxmlformats.org/officeDocument/2006/relationships/hyperlink" Target="https://fbref.com/en/squads/fd962109/Fulham-Stats" TargetMode="External" Id="rId247"/><Relationship Type="http://schemas.openxmlformats.org/officeDocument/2006/relationships/hyperlink" Target="https://fbref.com/en/squads/b74092de/Ipswich-Town-Stats" TargetMode="External" Id="rId248"/><Relationship Type="http://schemas.openxmlformats.org/officeDocument/2006/relationships/hyperlink" Target="https://fbref.com/en/squads/a2d435b3/Leicester-City-Stats" TargetMode="External" Id="rId249"/><Relationship Type="http://schemas.openxmlformats.org/officeDocument/2006/relationships/hyperlink" Target="https://fbref.com/en/squads/822bd0ba/Liverpool-Stats" TargetMode="External" Id="rId250"/><Relationship Type="http://schemas.openxmlformats.org/officeDocument/2006/relationships/hyperlink" Target="https://fbref.com/en/squads/b8fd03ef/2024-2025/Manchester-City-Stats" TargetMode="External" Id="rId251"/><Relationship Type="http://schemas.openxmlformats.org/officeDocument/2006/relationships/hyperlink" Target="https://fbref.com/en/squads/19538871/Manchester-United-Stats" TargetMode="External" Id="rId252"/><Relationship Type="http://schemas.openxmlformats.org/officeDocument/2006/relationships/hyperlink" Target="https://fbref.com/en/squads/b2b47a98/Newcastle-United-Stats" TargetMode="External" Id="rId253"/><Relationship Type="http://schemas.openxmlformats.org/officeDocument/2006/relationships/hyperlink" Target="https://fbref.com/en/squads/e4a775cb/Nottingham-Forest-Stats" TargetMode="External" Id="rId254"/><Relationship Type="http://schemas.openxmlformats.org/officeDocument/2006/relationships/hyperlink" Target="https://fbref.com/en/squads/33c895d4/Southampton-Stats" TargetMode="External" Id="rId255"/><Relationship Type="http://schemas.openxmlformats.org/officeDocument/2006/relationships/hyperlink" Target="https://fbref.com/en/squads/361ca564/Tottenham-Hotspur-Stats" TargetMode="External" Id="rId256"/><Relationship Type="http://schemas.openxmlformats.org/officeDocument/2006/relationships/hyperlink" Target="https://fbref.com/en/squads/7c21e445/West-Ham-United-Stats" TargetMode="External" Id="rId257"/><Relationship Type="http://schemas.openxmlformats.org/officeDocument/2006/relationships/hyperlink" Target="https://fbref.com/en/squads/8cec06e1/Wolverhampton-Wanderers-Stats" TargetMode="External" Id="rId258"/><Relationship Type="http://schemas.openxmlformats.org/officeDocument/2006/relationships/hyperlink" Target="https://fbref.com/en/squads/18bb7c10/Arsenal-Stats" TargetMode="External" Id="rId259"/><Relationship Type="http://schemas.openxmlformats.org/officeDocument/2006/relationships/hyperlink" Target="https://fbref.com/en/squads/8602292d/Aston-Villa-Stats" TargetMode="External" Id="rId260"/><Relationship Type="http://schemas.openxmlformats.org/officeDocument/2006/relationships/hyperlink" Target="https://fbref.com/en/squads/4ba7cbea/Bournemouth-Stats" TargetMode="External" Id="rId261"/><Relationship Type="http://schemas.openxmlformats.org/officeDocument/2006/relationships/hyperlink" Target="https://fbref.com/en/squads/cd051869/Brentford-Stats" TargetMode="External" Id="rId262"/><Relationship Type="http://schemas.openxmlformats.org/officeDocument/2006/relationships/hyperlink" Target="https://fbref.com/en/squads/d07537b9/Brighton-and-Hove-Albion-Stats" TargetMode="External" Id="rId263"/><Relationship Type="http://schemas.openxmlformats.org/officeDocument/2006/relationships/hyperlink" Target="https://fbref.com/en/squads/cff3d9bb/2024-2025/Chelsea-Stats" TargetMode="External" Id="rId264"/><Relationship Type="http://schemas.openxmlformats.org/officeDocument/2006/relationships/hyperlink" Target="https://fbref.com/en/squads/47c64c55/Crystal-Palace-Stats" TargetMode="External" Id="rId265"/><Relationship Type="http://schemas.openxmlformats.org/officeDocument/2006/relationships/hyperlink" Target="https://fbref.com/en/squads/d3fd31cc/Everton-Stats" TargetMode="External" Id="rId266"/><Relationship Type="http://schemas.openxmlformats.org/officeDocument/2006/relationships/hyperlink" Target="https://fbref.com/en/squads/fd962109/Fulham-Stats" TargetMode="External" Id="rId267"/><Relationship Type="http://schemas.openxmlformats.org/officeDocument/2006/relationships/hyperlink" Target="https://fbref.com/en/squads/b74092de/Ipswich-Town-Stats" TargetMode="External" Id="rId268"/><Relationship Type="http://schemas.openxmlformats.org/officeDocument/2006/relationships/hyperlink" Target="https://fbref.com/en/squads/a2d435b3/Leicester-City-Stats" TargetMode="External" Id="rId269"/><Relationship Type="http://schemas.openxmlformats.org/officeDocument/2006/relationships/hyperlink" Target="https://fbref.com/en/squads/822bd0ba/Liverpool-Stats" TargetMode="External" Id="rId270"/><Relationship Type="http://schemas.openxmlformats.org/officeDocument/2006/relationships/hyperlink" Target="https://fbref.com/en/squads/b8fd03ef/2024-2025/Manchester-City-Stats" TargetMode="External" Id="rId271"/><Relationship Type="http://schemas.openxmlformats.org/officeDocument/2006/relationships/hyperlink" Target="https://fbref.com/en/squads/19538871/Manchester-United-Stats" TargetMode="External" Id="rId272"/><Relationship Type="http://schemas.openxmlformats.org/officeDocument/2006/relationships/hyperlink" Target="https://fbref.com/en/squads/b2b47a98/Newcastle-United-Stats" TargetMode="External" Id="rId273"/><Relationship Type="http://schemas.openxmlformats.org/officeDocument/2006/relationships/hyperlink" Target="https://fbref.com/en/squads/e4a775cb/Nottingham-Forest-Stats" TargetMode="External" Id="rId274"/><Relationship Type="http://schemas.openxmlformats.org/officeDocument/2006/relationships/hyperlink" Target="https://fbref.com/en/squads/33c895d4/Southampton-Stats" TargetMode="External" Id="rId275"/><Relationship Type="http://schemas.openxmlformats.org/officeDocument/2006/relationships/hyperlink" Target="https://fbref.com/en/squads/361ca564/Tottenham-Hotspur-Stats" TargetMode="External" Id="rId276"/><Relationship Type="http://schemas.openxmlformats.org/officeDocument/2006/relationships/hyperlink" Target="https://fbref.com/en/squads/7c21e445/West-Ham-United-Stats" TargetMode="External" Id="rId277"/><Relationship Type="http://schemas.openxmlformats.org/officeDocument/2006/relationships/hyperlink" Target="https://fbref.com/en/squads/8cec06e1/Wolverhampton-Wanderers-Stats" TargetMode="External" Id="rId278"/><Relationship Type="http://schemas.openxmlformats.org/officeDocument/2006/relationships/hyperlink" Target="https://fbref.com/en/squads/18bb7c10/Arsenal-Stats" TargetMode="External" Id="rId279"/><Relationship Type="http://schemas.openxmlformats.org/officeDocument/2006/relationships/hyperlink" Target="https://fbref.com/en/squads/8602292d/Aston-Villa-Stats" TargetMode="External" Id="rId280"/><Relationship Type="http://schemas.openxmlformats.org/officeDocument/2006/relationships/hyperlink" Target="https://fbref.com/en/squads/4ba7cbea/Bournemouth-Stats" TargetMode="External" Id="rId281"/><Relationship Type="http://schemas.openxmlformats.org/officeDocument/2006/relationships/hyperlink" Target="https://fbref.com/en/squads/cd051869/Brentford-Stats" TargetMode="External" Id="rId282"/><Relationship Type="http://schemas.openxmlformats.org/officeDocument/2006/relationships/hyperlink" Target="https://fbref.com/en/squads/d07537b9/Brighton-and-Hove-Albion-Stats" TargetMode="External" Id="rId283"/><Relationship Type="http://schemas.openxmlformats.org/officeDocument/2006/relationships/hyperlink" Target="https://fbref.com/en/squads/cff3d9bb/2024-2025/Chelsea-Stats" TargetMode="External" Id="rId284"/><Relationship Type="http://schemas.openxmlformats.org/officeDocument/2006/relationships/hyperlink" Target="https://fbref.com/en/squads/47c64c55/Crystal-Palace-Stats" TargetMode="External" Id="rId285"/><Relationship Type="http://schemas.openxmlformats.org/officeDocument/2006/relationships/hyperlink" Target="https://fbref.com/en/squads/d3fd31cc/Everton-Stats" TargetMode="External" Id="rId286"/><Relationship Type="http://schemas.openxmlformats.org/officeDocument/2006/relationships/hyperlink" Target="https://fbref.com/en/squads/fd962109/Fulham-Stats" TargetMode="External" Id="rId287"/><Relationship Type="http://schemas.openxmlformats.org/officeDocument/2006/relationships/hyperlink" Target="https://fbref.com/en/squads/b74092de/Ipswich-Town-Stats" TargetMode="External" Id="rId288"/><Relationship Type="http://schemas.openxmlformats.org/officeDocument/2006/relationships/hyperlink" Target="https://fbref.com/en/squads/a2d435b3/Leicester-City-Stats" TargetMode="External" Id="rId289"/><Relationship Type="http://schemas.openxmlformats.org/officeDocument/2006/relationships/hyperlink" Target="https://fbref.com/en/squads/822bd0ba/Liverpool-Stats" TargetMode="External" Id="rId290"/><Relationship Type="http://schemas.openxmlformats.org/officeDocument/2006/relationships/hyperlink" Target="https://fbref.com/en/squads/b8fd03ef/2024-2025/Manchester-City-Stats" TargetMode="External" Id="rId291"/><Relationship Type="http://schemas.openxmlformats.org/officeDocument/2006/relationships/hyperlink" Target="https://fbref.com/en/squads/19538871/Manchester-United-Stats" TargetMode="External" Id="rId292"/><Relationship Type="http://schemas.openxmlformats.org/officeDocument/2006/relationships/hyperlink" Target="https://fbref.com/en/squads/b2b47a98/Newcastle-United-Stats" TargetMode="External" Id="rId293"/><Relationship Type="http://schemas.openxmlformats.org/officeDocument/2006/relationships/hyperlink" Target="https://fbref.com/en/squads/e4a775cb/Nottingham-Forest-Stats" TargetMode="External" Id="rId294"/><Relationship Type="http://schemas.openxmlformats.org/officeDocument/2006/relationships/hyperlink" Target="https://fbref.com/en/squads/33c895d4/Southampton-Stats" TargetMode="External" Id="rId295"/><Relationship Type="http://schemas.openxmlformats.org/officeDocument/2006/relationships/hyperlink" Target="https://fbref.com/en/squads/361ca564/Tottenham-Hotspur-Stats" TargetMode="External" Id="rId296"/><Relationship Type="http://schemas.openxmlformats.org/officeDocument/2006/relationships/hyperlink" Target="https://fbref.com/en/squads/7c21e445/West-Ham-United-Stats" TargetMode="External" Id="rId297"/><Relationship Type="http://schemas.openxmlformats.org/officeDocument/2006/relationships/hyperlink" Target="https://fbref.com/en/squads/8cec06e1/Wolverhampton-Wanderers-Stats" TargetMode="External" Id="rId298"/><Relationship Type="http://schemas.openxmlformats.org/officeDocument/2006/relationships/hyperlink" Target="https://fbref.com/en/squads/18bb7c10/Arsenal-Stats" TargetMode="External" Id="rId299"/><Relationship Type="http://schemas.openxmlformats.org/officeDocument/2006/relationships/hyperlink" Target="https://fbref.com/en/squads/8602292d/Aston-Villa-Stats" TargetMode="External" Id="rId300"/><Relationship Type="http://schemas.openxmlformats.org/officeDocument/2006/relationships/hyperlink" Target="https://fbref.com/en/squads/4ba7cbea/Bournemouth-Stats" TargetMode="External" Id="rId301"/><Relationship Type="http://schemas.openxmlformats.org/officeDocument/2006/relationships/hyperlink" Target="https://fbref.com/en/squads/cd051869/Brentford-Stats" TargetMode="External" Id="rId302"/><Relationship Type="http://schemas.openxmlformats.org/officeDocument/2006/relationships/hyperlink" Target="https://fbref.com/en/squads/d07537b9/Brighton-and-Hove-Albion-Stats" TargetMode="External" Id="rId303"/><Relationship Type="http://schemas.openxmlformats.org/officeDocument/2006/relationships/hyperlink" Target="https://fbref.com/en/squads/cff3d9bb/2024-2025/Chelsea-Stats" TargetMode="External" Id="rId304"/><Relationship Type="http://schemas.openxmlformats.org/officeDocument/2006/relationships/hyperlink" Target="https://fbref.com/en/squads/47c64c55/Crystal-Palace-Stats" TargetMode="External" Id="rId305"/><Relationship Type="http://schemas.openxmlformats.org/officeDocument/2006/relationships/hyperlink" Target="https://fbref.com/en/squads/d3fd31cc/Everton-Stats" TargetMode="External" Id="rId306"/><Relationship Type="http://schemas.openxmlformats.org/officeDocument/2006/relationships/hyperlink" Target="https://fbref.com/en/squads/fd962109/Fulham-Stats" TargetMode="External" Id="rId307"/><Relationship Type="http://schemas.openxmlformats.org/officeDocument/2006/relationships/hyperlink" Target="https://fbref.com/en/squads/b74092de/Ipswich-Town-Stats" TargetMode="External" Id="rId308"/><Relationship Type="http://schemas.openxmlformats.org/officeDocument/2006/relationships/hyperlink" Target="https://fbref.com/en/squads/a2d435b3/Leicester-City-Stats" TargetMode="External" Id="rId309"/><Relationship Type="http://schemas.openxmlformats.org/officeDocument/2006/relationships/hyperlink" Target="https://fbref.com/en/squads/822bd0ba/Liverpool-Stats" TargetMode="External" Id="rId310"/><Relationship Type="http://schemas.openxmlformats.org/officeDocument/2006/relationships/hyperlink" Target="https://fbref.com/en/squads/b8fd03ef/2024-2025/Manchester-City-Stats" TargetMode="External" Id="rId311"/><Relationship Type="http://schemas.openxmlformats.org/officeDocument/2006/relationships/hyperlink" Target="https://fbref.com/en/squads/19538871/Manchester-United-Stats" TargetMode="External" Id="rId312"/><Relationship Type="http://schemas.openxmlformats.org/officeDocument/2006/relationships/hyperlink" Target="https://fbref.com/en/squads/b2b47a98/Newcastle-United-Stats" TargetMode="External" Id="rId313"/><Relationship Type="http://schemas.openxmlformats.org/officeDocument/2006/relationships/hyperlink" Target="https://fbref.com/en/squads/e4a775cb/Nottingham-Forest-Stats" TargetMode="External" Id="rId314"/><Relationship Type="http://schemas.openxmlformats.org/officeDocument/2006/relationships/hyperlink" Target="https://fbref.com/en/squads/33c895d4/Southampton-Stats" TargetMode="External" Id="rId315"/><Relationship Type="http://schemas.openxmlformats.org/officeDocument/2006/relationships/hyperlink" Target="https://fbref.com/en/squads/361ca564/Tottenham-Hotspur-Stats" TargetMode="External" Id="rId316"/><Relationship Type="http://schemas.openxmlformats.org/officeDocument/2006/relationships/hyperlink" Target="https://fbref.com/en/squads/7c21e445/West-Ham-United-Stats" TargetMode="External" Id="rId317"/><Relationship Type="http://schemas.openxmlformats.org/officeDocument/2006/relationships/hyperlink" Target="https://fbref.com/en/squads/8cec06e1/Wolverhampton-Wanderers-Stats" TargetMode="External" Id="rId318"/><Relationship Type="http://schemas.openxmlformats.org/officeDocument/2006/relationships/hyperlink" Target="https://fbref.com/en/squads/18bb7c10/Arsenal-Stats" TargetMode="External" Id="rId319"/><Relationship Type="http://schemas.openxmlformats.org/officeDocument/2006/relationships/hyperlink" Target="https://fbref.com/en/squads/8602292d/Aston-Villa-Stats" TargetMode="External" Id="rId320"/><Relationship Type="http://schemas.openxmlformats.org/officeDocument/2006/relationships/hyperlink" Target="https://fbref.com/en/squads/4ba7cbea/Bournemouth-Stats" TargetMode="External" Id="rId321"/><Relationship Type="http://schemas.openxmlformats.org/officeDocument/2006/relationships/hyperlink" Target="https://fbref.com/en/squads/cd051869/Brentford-Stats" TargetMode="External" Id="rId322"/><Relationship Type="http://schemas.openxmlformats.org/officeDocument/2006/relationships/hyperlink" Target="https://fbref.com/en/squads/d07537b9/Brighton-and-Hove-Albion-Stats" TargetMode="External" Id="rId323"/><Relationship Type="http://schemas.openxmlformats.org/officeDocument/2006/relationships/hyperlink" Target="https://fbref.com/en/squads/cff3d9bb/2024-2025/Chelsea-Stats" TargetMode="External" Id="rId324"/><Relationship Type="http://schemas.openxmlformats.org/officeDocument/2006/relationships/hyperlink" Target="https://fbref.com/en/squads/47c64c55/Crystal-Palace-Stats" TargetMode="External" Id="rId325"/><Relationship Type="http://schemas.openxmlformats.org/officeDocument/2006/relationships/hyperlink" Target="https://fbref.com/en/squads/d3fd31cc/Everton-Stats" TargetMode="External" Id="rId326"/><Relationship Type="http://schemas.openxmlformats.org/officeDocument/2006/relationships/hyperlink" Target="https://fbref.com/en/squads/fd962109/Fulham-Stats" TargetMode="External" Id="rId327"/><Relationship Type="http://schemas.openxmlformats.org/officeDocument/2006/relationships/hyperlink" Target="https://fbref.com/en/squads/b74092de/Ipswich-Town-Stats" TargetMode="External" Id="rId328"/><Relationship Type="http://schemas.openxmlformats.org/officeDocument/2006/relationships/hyperlink" Target="https://fbref.com/en/squads/a2d435b3/Leicester-City-Stats" TargetMode="External" Id="rId329"/><Relationship Type="http://schemas.openxmlformats.org/officeDocument/2006/relationships/hyperlink" Target="https://fbref.com/en/squads/822bd0ba/Liverpool-Stats" TargetMode="External" Id="rId330"/><Relationship Type="http://schemas.openxmlformats.org/officeDocument/2006/relationships/hyperlink" Target="https://fbref.com/en/squads/b8fd03ef/2024-2025/Manchester-City-Stats" TargetMode="External" Id="rId331"/><Relationship Type="http://schemas.openxmlformats.org/officeDocument/2006/relationships/hyperlink" Target="https://fbref.com/en/squads/19538871/Manchester-United-Stats" TargetMode="External" Id="rId332"/><Relationship Type="http://schemas.openxmlformats.org/officeDocument/2006/relationships/hyperlink" Target="https://fbref.com/en/squads/b2b47a98/Newcastle-United-Stats" TargetMode="External" Id="rId333"/><Relationship Type="http://schemas.openxmlformats.org/officeDocument/2006/relationships/hyperlink" Target="https://fbref.com/en/squads/e4a775cb/Nottingham-Forest-Stats" TargetMode="External" Id="rId334"/><Relationship Type="http://schemas.openxmlformats.org/officeDocument/2006/relationships/hyperlink" Target="https://fbref.com/en/squads/33c895d4/Southampton-Stats" TargetMode="External" Id="rId335"/><Relationship Type="http://schemas.openxmlformats.org/officeDocument/2006/relationships/hyperlink" Target="https://fbref.com/en/squads/361ca564/Tottenham-Hotspur-Stats" TargetMode="External" Id="rId336"/><Relationship Type="http://schemas.openxmlformats.org/officeDocument/2006/relationships/hyperlink" Target="https://fbref.com/en/squads/7c21e445/West-Ham-United-Stats" TargetMode="External" Id="rId337"/><Relationship Type="http://schemas.openxmlformats.org/officeDocument/2006/relationships/hyperlink" Target="https://fbref.com/en/squads/8cec06e1/Wolverhampton-Wanderers-Stats" TargetMode="External" Id="rId338"/><Relationship Type="http://schemas.openxmlformats.org/officeDocument/2006/relationships/hyperlink" Target="https://fbref.com/en/squads/18bb7c10/Arsenal-Stats" TargetMode="External" Id="rId339"/><Relationship Type="http://schemas.openxmlformats.org/officeDocument/2006/relationships/hyperlink" Target="https://fbref.com/en/squads/8602292d/Aston-Villa-Stats" TargetMode="External" Id="rId340"/><Relationship Type="http://schemas.openxmlformats.org/officeDocument/2006/relationships/hyperlink" Target="https://fbref.com/en/squads/4ba7cbea/Bournemouth-Stats" TargetMode="External" Id="rId341"/><Relationship Type="http://schemas.openxmlformats.org/officeDocument/2006/relationships/hyperlink" Target="https://fbref.com/en/squads/cd051869/Brentford-Stats" TargetMode="External" Id="rId342"/><Relationship Type="http://schemas.openxmlformats.org/officeDocument/2006/relationships/hyperlink" Target="https://fbref.com/en/squads/d07537b9/Brighton-and-Hove-Albion-Stats" TargetMode="External" Id="rId343"/><Relationship Type="http://schemas.openxmlformats.org/officeDocument/2006/relationships/hyperlink" Target="https://fbref.com/en/squads/cff3d9bb/2024-2025/Chelsea-Stats" TargetMode="External" Id="rId344"/><Relationship Type="http://schemas.openxmlformats.org/officeDocument/2006/relationships/hyperlink" Target="https://fbref.com/en/squads/47c64c55/Crystal-Palace-Stats" TargetMode="External" Id="rId345"/><Relationship Type="http://schemas.openxmlformats.org/officeDocument/2006/relationships/hyperlink" Target="https://fbref.com/en/squads/d3fd31cc/Everton-Stats" TargetMode="External" Id="rId346"/><Relationship Type="http://schemas.openxmlformats.org/officeDocument/2006/relationships/hyperlink" Target="https://fbref.com/en/squads/fd962109/Fulham-Stats" TargetMode="External" Id="rId347"/><Relationship Type="http://schemas.openxmlformats.org/officeDocument/2006/relationships/hyperlink" Target="https://fbref.com/en/squads/b74092de/Ipswich-Town-Stats" TargetMode="External" Id="rId348"/><Relationship Type="http://schemas.openxmlformats.org/officeDocument/2006/relationships/hyperlink" Target="https://fbref.com/en/squads/a2d435b3/Leicester-City-Stats" TargetMode="External" Id="rId349"/><Relationship Type="http://schemas.openxmlformats.org/officeDocument/2006/relationships/hyperlink" Target="https://fbref.com/en/squads/822bd0ba/Liverpool-Stats" TargetMode="External" Id="rId350"/><Relationship Type="http://schemas.openxmlformats.org/officeDocument/2006/relationships/hyperlink" Target="https://fbref.com/en/squads/b8fd03ef/2024-2025/Manchester-City-Stats" TargetMode="External" Id="rId351"/><Relationship Type="http://schemas.openxmlformats.org/officeDocument/2006/relationships/hyperlink" Target="https://fbref.com/en/squads/19538871/Manchester-United-Stats" TargetMode="External" Id="rId352"/><Relationship Type="http://schemas.openxmlformats.org/officeDocument/2006/relationships/hyperlink" Target="https://fbref.com/en/squads/b2b47a98/Newcastle-United-Stats" TargetMode="External" Id="rId353"/><Relationship Type="http://schemas.openxmlformats.org/officeDocument/2006/relationships/hyperlink" Target="https://fbref.com/en/squads/e4a775cb/Nottingham-Forest-Stats" TargetMode="External" Id="rId354"/><Relationship Type="http://schemas.openxmlformats.org/officeDocument/2006/relationships/hyperlink" Target="https://fbref.com/en/squads/33c895d4/Southampton-Stats" TargetMode="External" Id="rId355"/><Relationship Type="http://schemas.openxmlformats.org/officeDocument/2006/relationships/hyperlink" Target="https://fbref.com/en/squads/361ca564/Tottenham-Hotspur-Stats" TargetMode="External" Id="rId356"/><Relationship Type="http://schemas.openxmlformats.org/officeDocument/2006/relationships/hyperlink" Target="https://fbref.com/en/squads/7c21e445/West-Ham-United-Stats" TargetMode="External" Id="rId357"/><Relationship Type="http://schemas.openxmlformats.org/officeDocument/2006/relationships/hyperlink" Target="https://fbref.com/en/squads/8cec06e1/Wolverhampton-Wanderers-Stats" TargetMode="External" Id="rId358"/><Relationship Type="http://schemas.openxmlformats.org/officeDocument/2006/relationships/hyperlink" Target="https://fbref.com/en/squads/18bb7c10/Arsenal-Stats" TargetMode="External" Id="rId359"/><Relationship Type="http://schemas.openxmlformats.org/officeDocument/2006/relationships/hyperlink" Target="https://fbref.com/en/squads/8602292d/Aston-Villa-Stats" TargetMode="External" Id="rId360"/><Relationship Type="http://schemas.openxmlformats.org/officeDocument/2006/relationships/hyperlink" Target="https://fbref.com/en/squads/4ba7cbea/Bournemouth-Stats" TargetMode="External" Id="rId361"/><Relationship Type="http://schemas.openxmlformats.org/officeDocument/2006/relationships/hyperlink" Target="https://fbref.com/en/squads/cd051869/Brentford-Stats" TargetMode="External" Id="rId362"/><Relationship Type="http://schemas.openxmlformats.org/officeDocument/2006/relationships/hyperlink" Target="https://fbref.com/en/squads/d07537b9/Brighton-and-Hove-Albion-Stats" TargetMode="External" Id="rId363"/><Relationship Type="http://schemas.openxmlformats.org/officeDocument/2006/relationships/hyperlink" Target="https://fbref.com/en/squads/cff3d9bb/2024-2025/Chelsea-Stats" TargetMode="External" Id="rId364"/><Relationship Type="http://schemas.openxmlformats.org/officeDocument/2006/relationships/hyperlink" Target="https://fbref.com/en/squads/47c64c55/Crystal-Palace-Stats" TargetMode="External" Id="rId365"/><Relationship Type="http://schemas.openxmlformats.org/officeDocument/2006/relationships/hyperlink" Target="https://fbref.com/en/squads/d3fd31cc/Everton-Stats" TargetMode="External" Id="rId366"/><Relationship Type="http://schemas.openxmlformats.org/officeDocument/2006/relationships/hyperlink" Target="https://fbref.com/en/squads/fd962109/Fulham-Stats" TargetMode="External" Id="rId367"/><Relationship Type="http://schemas.openxmlformats.org/officeDocument/2006/relationships/hyperlink" Target="https://fbref.com/en/squads/b74092de/Ipswich-Town-Stats" TargetMode="External" Id="rId368"/><Relationship Type="http://schemas.openxmlformats.org/officeDocument/2006/relationships/hyperlink" Target="https://fbref.com/en/squads/a2d435b3/Leicester-City-Stats" TargetMode="External" Id="rId369"/><Relationship Type="http://schemas.openxmlformats.org/officeDocument/2006/relationships/hyperlink" Target="https://fbref.com/en/squads/822bd0ba/Liverpool-Stats" TargetMode="External" Id="rId370"/><Relationship Type="http://schemas.openxmlformats.org/officeDocument/2006/relationships/hyperlink" Target="https://fbref.com/en/squads/b8fd03ef/2024-2025/Manchester-City-Stats" TargetMode="External" Id="rId371"/><Relationship Type="http://schemas.openxmlformats.org/officeDocument/2006/relationships/hyperlink" Target="https://fbref.com/en/squads/19538871/Manchester-United-Stats" TargetMode="External" Id="rId372"/><Relationship Type="http://schemas.openxmlformats.org/officeDocument/2006/relationships/hyperlink" Target="https://fbref.com/en/squads/b2b47a98/Newcastle-United-Stats" TargetMode="External" Id="rId373"/><Relationship Type="http://schemas.openxmlformats.org/officeDocument/2006/relationships/hyperlink" Target="https://fbref.com/en/squads/e4a775cb/Nottingham-Forest-Stats" TargetMode="External" Id="rId374"/><Relationship Type="http://schemas.openxmlformats.org/officeDocument/2006/relationships/hyperlink" Target="https://fbref.com/en/squads/33c895d4/Southampton-Stats" TargetMode="External" Id="rId375"/><Relationship Type="http://schemas.openxmlformats.org/officeDocument/2006/relationships/hyperlink" Target="https://fbref.com/en/squads/361ca564/Tottenham-Hotspur-Stats" TargetMode="External" Id="rId376"/><Relationship Type="http://schemas.openxmlformats.org/officeDocument/2006/relationships/hyperlink" Target="https://fbref.com/en/squads/7c21e445/West-Ham-United-Stats" TargetMode="External" Id="rId377"/><Relationship Type="http://schemas.openxmlformats.org/officeDocument/2006/relationships/hyperlink" Target="https://fbref.com/en/squads/8cec06e1/Wolverhampton-Wanderers-Stats" TargetMode="External" Id="rId378"/><Relationship Type="http://schemas.openxmlformats.org/officeDocument/2006/relationships/hyperlink" Target="https://fbref.com/en/squads/18bb7c10/Arsenal-Stats" TargetMode="External" Id="rId379"/><Relationship Type="http://schemas.openxmlformats.org/officeDocument/2006/relationships/hyperlink" Target="https://fbref.com/en/squads/8602292d/Aston-Villa-Stats" TargetMode="External" Id="rId380"/><Relationship Type="http://schemas.openxmlformats.org/officeDocument/2006/relationships/hyperlink" Target="https://fbref.com/en/squads/4ba7cbea/Bournemouth-Stats" TargetMode="External" Id="rId381"/><Relationship Type="http://schemas.openxmlformats.org/officeDocument/2006/relationships/hyperlink" Target="https://fbref.com/en/squads/cd051869/Brentford-Stats" TargetMode="External" Id="rId382"/><Relationship Type="http://schemas.openxmlformats.org/officeDocument/2006/relationships/hyperlink" Target="https://fbref.com/en/squads/d07537b9/Brighton-and-Hove-Albion-Stats" TargetMode="External" Id="rId383"/><Relationship Type="http://schemas.openxmlformats.org/officeDocument/2006/relationships/hyperlink" Target="https://fbref.com/en/squads/cff3d9bb/2024-2025/Chelsea-Stats" TargetMode="External" Id="rId384"/><Relationship Type="http://schemas.openxmlformats.org/officeDocument/2006/relationships/hyperlink" Target="https://fbref.com/en/squads/47c64c55/Crystal-Palace-Stats" TargetMode="External" Id="rId385"/><Relationship Type="http://schemas.openxmlformats.org/officeDocument/2006/relationships/hyperlink" Target="https://fbref.com/en/squads/d3fd31cc/Everton-Stats" TargetMode="External" Id="rId386"/><Relationship Type="http://schemas.openxmlformats.org/officeDocument/2006/relationships/hyperlink" Target="https://fbref.com/en/squads/fd962109/Fulham-Stats" TargetMode="External" Id="rId387"/><Relationship Type="http://schemas.openxmlformats.org/officeDocument/2006/relationships/hyperlink" Target="https://fbref.com/en/squads/b74092de/Ipswich-Town-Stats" TargetMode="External" Id="rId388"/><Relationship Type="http://schemas.openxmlformats.org/officeDocument/2006/relationships/hyperlink" Target="https://fbref.com/en/squads/a2d435b3/Leicester-City-Stats" TargetMode="External" Id="rId389"/><Relationship Type="http://schemas.openxmlformats.org/officeDocument/2006/relationships/hyperlink" Target="https://fbref.com/en/squads/822bd0ba/Liverpool-Stats" TargetMode="External" Id="rId390"/><Relationship Type="http://schemas.openxmlformats.org/officeDocument/2006/relationships/hyperlink" Target="https://fbref.com/en/squads/b8fd03ef/2024-2025/Manchester-City-Stats" TargetMode="External" Id="rId391"/><Relationship Type="http://schemas.openxmlformats.org/officeDocument/2006/relationships/hyperlink" Target="https://fbref.com/en/squads/19538871/Manchester-United-Stats" TargetMode="External" Id="rId392"/><Relationship Type="http://schemas.openxmlformats.org/officeDocument/2006/relationships/hyperlink" Target="https://fbref.com/en/squads/b2b47a98/Newcastle-United-Stats" TargetMode="External" Id="rId393"/><Relationship Type="http://schemas.openxmlformats.org/officeDocument/2006/relationships/hyperlink" Target="https://fbref.com/en/squads/e4a775cb/Nottingham-Forest-Stats" TargetMode="External" Id="rId394"/><Relationship Type="http://schemas.openxmlformats.org/officeDocument/2006/relationships/hyperlink" Target="https://fbref.com/en/squads/33c895d4/Southampton-Stats" TargetMode="External" Id="rId395"/><Relationship Type="http://schemas.openxmlformats.org/officeDocument/2006/relationships/hyperlink" Target="https://fbref.com/en/squads/361ca564/Tottenham-Hotspur-Stats" TargetMode="External" Id="rId396"/><Relationship Type="http://schemas.openxmlformats.org/officeDocument/2006/relationships/hyperlink" Target="https://fbref.com/en/squads/7c21e445/West-Ham-United-Stats" TargetMode="External" Id="rId397"/><Relationship Type="http://schemas.openxmlformats.org/officeDocument/2006/relationships/hyperlink" Target="https://fbref.com/en/squads/8cec06e1/Wolverhampton-Wanderers-Stats" TargetMode="External" Id="rId398"/><Relationship Type="http://schemas.openxmlformats.org/officeDocument/2006/relationships/hyperlink" Target="https://fbref.com/en/squads/18bb7c10/Arsenal-Stats" TargetMode="External" Id="rId399"/><Relationship Type="http://schemas.openxmlformats.org/officeDocument/2006/relationships/hyperlink" Target="https://fbref.com/en/squads/8602292d/Aston-Villa-Stats" TargetMode="External" Id="rId400"/><Relationship Type="http://schemas.openxmlformats.org/officeDocument/2006/relationships/hyperlink" Target="https://fbref.com/en/squads/4ba7cbea/Bournemouth-Stats" TargetMode="External" Id="rId401"/><Relationship Type="http://schemas.openxmlformats.org/officeDocument/2006/relationships/hyperlink" Target="https://fbref.com/en/squads/cd051869/Brentford-Stats" TargetMode="External" Id="rId402"/><Relationship Type="http://schemas.openxmlformats.org/officeDocument/2006/relationships/hyperlink" Target="https://fbref.com/en/squads/d07537b9/Brighton-and-Hove-Albion-Stats" TargetMode="External" Id="rId403"/><Relationship Type="http://schemas.openxmlformats.org/officeDocument/2006/relationships/hyperlink" Target="https://fbref.com/en/squads/cff3d9bb/2024-2025/Chelsea-Stats" TargetMode="External" Id="rId404"/><Relationship Type="http://schemas.openxmlformats.org/officeDocument/2006/relationships/hyperlink" Target="https://fbref.com/en/squads/47c64c55/Crystal-Palace-Stats" TargetMode="External" Id="rId405"/><Relationship Type="http://schemas.openxmlformats.org/officeDocument/2006/relationships/hyperlink" Target="https://fbref.com/en/squads/d3fd31cc/Everton-Stats" TargetMode="External" Id="rId406"/><Relationship Type="http://schemas.openxmlformats.org/officeDocument/2006/relationships/hyperlink" Target="https://fbref.com/en/squads/fd962109/Fulham-Stats" TargetMode="External" Id="rId407"/><Relationship Type="http://schemas.openxmlformats.org/officeDocument/2006/relationships/hyperlink" Target="https://fbref.com/en/squads/b74092de/Ipswich-Town-Stats" TargetMode="External" Id="rId408"/><Relationship Type="http://schemas.openxmlformats.org/officeDocument/2006/relationships/hyperlink" Target="https://fbref.com/en/squads/a2d435b3/Leicester-City-Stats" TargetMode="External" Id="rId409"/><Relationship Type="http://schemas.openxmlformats.org/officeDocument/2006/relationships/hyperlink" Target="https://fbref.com/en/squads/822bd0ba/Liverpool-Stats" TargetMode="External" Id="rId410"/><Relationship Type="http://schemas.openxmlformats.org/officeDocument/2006/relationships/hyperlink" Target="https://fbref.com/en/squads/b8fd03ef/2024-2025/Manchester-City-Stats" TargetMode="External" Id="rId411"/><Relationship Type="http://schemas.openxmlformats.org/officeDocument/2006/relationships/hyperlink" Target="https://fbref.com/en/squads/19538871/Manchester-United-Stats" TargetMode="External" Id="rId412"/><Relationship Type="http://schemas.openxmlformats.org/officeDocument/2006/relationships/hyperlink" Target="https://fbref.com/en/squads/b2b47a98/Newcastle-United-Stats" TargetMode="External" Id="rId413"/><Relationship Type="http://schemas.openxmlformats.org/officeDocument/2006/relationships/hyperlink" Target="https://fbref.com/en/squads/e4a775cb/Nottingham-Forest-Stats" TargetMode="External" Id="rId414"/><Relationship Type="http://schemas.openxmlformats.org/officeDocument/2006/relationships/hyperlink" Target="https://fbref.com/en/squads/33c895d4/Southampton-Stats" TargetMode="External" Id="rId415"/><Relationship Type="http://schemas.openxmlformats.org/officeDocument/2006/relationships/hyperlink" Target="https://fbref.com/en/squads/361ca564/Tottenham-Hotspur-Stats" TargetMode="External" Id="rId416"/><Relationship Type="http://schemas.openxmlformats.org/officeDocument/2006/relationships/hyperlink" Target="https://fbref.com/en/squads/7c21e445/West-Ham-United-Stats" TargetMode="External" Id="rId417"/><Relationship Type="http://schemas.openxmlformats.org/officeDocument/2006/relationships/hyperlink" Target="https://fbref.com/en/squads/8cec06e1/Wolverhampton-Wanderers-Stats" TargetMode="External" Id="rId418"/><Relationship Type="http://schemas.openxmlformats.org/officeDocument/2006/relationships/hyperlink" Target="https://fbref.com/en/squads/18bb7c10/Arsenal-Stats" TargetMode="External" Id="rId419"/><Relationship Type="http://schemas.openxmlformats.org/officeDocument/2006/relationships/hyperlink" Target="https://fbref.com/en/squads/8602292d/Aston-Villa-Stats" TargetMode="External" Id="rId420"/><Relationship Type="http://schemas.openxmlformats.org/officeDocument/2006/relationships/hyperlink" Target="https://fbref.com/en/squads/4ba7cbea/Bournemouth-Stats" TargetMode="External" Id="rId421"/><Relationship Type="http://schemas.openxmlformats.org/officeDocument/2006/relationships/hyperlink" Target="https://fbref.com/en/squads/cd051869/Brentford-Stats" TargetMode="External" Id="rId422"/><Relationship Type="http://schemas.openxmlformats.org/officeDocument/2006/relationships/hyperlink" Target="https://fbref.com/en/squads/d07537b9/Brighton-and-Hove-Albion-Stats" TargetMode="External" Id="rId423"/><Relationship Type="http://schemas.openxmlformats.org/officeDocument/2006/relationships/hyperlink" Target="https://fbref.com/en/squads/cff3d9bb/2024-2025/Chelsea-Stats" TargetMode="External" Id="rId424"/><Relationship Type="http://schemas.openxmlformats.org/officeDocument/2006/relationships/hyperlink" Target="https://fbref.com/en/squads/47c64c55/Crystal-Palace-Stats" TargetMode="External" Id="rId425"/><Relationship Type="http://schemas.openxmlformats.org/officeDocument/2006/relationships/hyperlink" Target="https://fbref.com/en/squads/d3fd31cc/Everton-Stats" TargetMode="External" Id="rId426"/><Relationship Type="http://schemas.openxmlformats.org/officeDocument/2006/relationships/hyperlink" Target="https://fbref.com/en/squads/fd962109/Fulham-Stats" TargetMode="External" Id="rId427"/><Relationship Type="http://schemas.openxmlformats.org/officeDocument/2006/relationships/hyperlink" Target="https://fbref.com/en/squads/b74092de/Ipswich-Town-Stats" TargetMode="External" Id="rId428"/><Relationship Type="http://schemas.openxmlformats.org/officeDocument/2006/relationships/hyperlink" Target="https://fbref.com/en/squads/a2d435b3/Leicester-City-Stats" TargetMode="External" Id="rId429"/><Relationship Type="http://schemas.openxmlformats.org/officeDocument/2006/relationships/hyperlink" Target="https://fbref.com/en/squads/822bd0ba/Liverpool-Stats" TargetMode="External" Id="rId430"/><Relationship Type="http://schemas.openxmlformats.org/officeDocument/2006/relationships/hyperlink" Target="https://fbref.com/en/squads/b8fd03ef/2024-2025/Manchester-City-Stats" TargetMode="External" Id="rId431"/><Relationship Type="http://schemas.openxmlformats.org/officeDocument/2006/relationships/hyperlink" Target="https://fbref.com/en/squads/19538871/Manchester-United-Stats" TargetMode="External" Id="rId432"/><Relationship Type="http://schemas.openxmlformats.org/officeDocument/2006/relationships/hyperlink" Target="https://fbref.com/en/squads/b2b47a98/Newcastle-United-Stats" TargetMode="External" Id="rId433"/><Relationship Type="http://schemas.openxmlformats.org/officeDocument/2006/relationships/hyperlink" Target="https://fbref.com/en/squads/e4a775cb/Nottingham-Forest-Stats" TargetMode="External" Id="rId434"/><Relationship Type="http://schemas.openxmlformats.org/officeDocument/2006/relationships/hyperlink" Target="https://fbref.com/en/squads/33c895d4/Southampton-Stats" TargetMode="External" Id="rId435"/><Relationship Type="http://schemas.openxmlformats.org/officeDocument/2006/relationships/hyperlink" Target="https://fbref.com/en/squads/361ca564/Tottenham-Hotspur-Stats" TargetMode="External" Id="rId436"/><Relationship Type="http://schemas.openxmlformats.org/officeDocument/2006/relationships/hyperlink" Target="https://fbref.com/en/squads/7c21e445/West-Ham-United-Stats" TargetMode="External" Id="rId437"/><Relationship Type="http://schemas.openxmlformats.org/officeDocument/2006/relationships/hyperlink" Target="https://fbref.com/en/squads/8cec06e1/Wolverhampton-Wanderers-Stats" TargetMode="External" Id="rId438"/><Relationship Type="http://schemas.openxmlformats.org/officeDocument/2006/relationships/hyperlink" Target="https://fbref.com/en/squads/18bb7c10/Arsenal-Stats" TargetMode="External" Id="rId439"/><Relationship Type="http://schemas.openxmlformats.org/officeDocument/2006/relationships/hyperlink" Target="https://fbref.com/en/squads/8602292d/Aston-Villa-Stats" TargetMode="External" Id="rId440"/><Relationship Type="http://schemas.openxmlformats.org/officeDocument/2006/relationships/hyperlink" Target="https://fbref.com/en/squads/4ba7cbea/Bournemouth-Stats" TargetMode="External" Id="rId441"/><Relationship Type="http://schemas.openxmlformats.org/officeDocument/2006/relationships/hyperlink" Target="https://fbref.com/en/squads/cd051869/Brentford-Stats" TargetMode="External" Id="rId442"/><Relationship Type="http://schemas.openxmlformats.org/officeDocument/2006/relationships/hyperlink" Target="https://fbref.com/en/squads/d07537b9/Brighton-and-Hove-Albion-Stats" TargetMode="External" Id="rId443"/><Relationship Type="http://schemas.openxmlformats.org/officeDocument/2006/relationships/hyperlink" Target="https://fbref.com/en/squads/cff3d9bb/2024-2025/Chelsea-Stats" TargetMode="External" Id="rId444"/><Relationship Type="http://schemas.openxmlformats.org/officeDocument/2006/relationships/hyperlink" Target="https://fbref.com/en/squads/47c64c55/Crystal-Palace-Stats" TargetMode="External" Id="rId445"/><Relationship Type="http://schemas.openxmlformats.org/officeDocument/2006/relationships/hyperlink" Target="https://fbref.com/en/squads/d3fd31cc/Everton-Stats" TargetMode="External" Id="rId446"/><Relationship Type="http://schemas.openxmlformats.org/officeDocument/2006/relationships/hyperlink" Target="https://fbref.com/en/squads/fd962109/Fulham-Stats" TargetMode="External" Id="rId447"/><Relationship Type="http://schemas.openxmlformats.org/officeDocument/2006/relationships/hyperlink" Target="https://fbref.com/en/squads/b74092de/Ipswich-Town-Stats" TargetMode="External" Id="rId448"/><Relationship Type="http://schemas.openxmlformats.org/officeDocument/2006/relationships/hyperlink" Target="https://fbref.com/en/squads/a2d435b3/Leicester-City-Stats" TargetMode="External" Id="rId449"/><Relationship Type="http://schemas.openxmlformats.org/officeDocument/2006/relationships/hyperlink" Target="https://fbref.com/en/squads/822bd0ba/Liverpool-Stats" TargetMode="External" Id="rId450"/><Relationship Type="http://schemas.openxmlformats.org/officeDocument/2006/relationships/hyperlink" Target="https://fbref.com/en/squads/b8fd03ef/2024-2025/Manchester-City-Stats" TargetMode="External" Id="rId451"/><Relationship Type="http://schemas.openxmlformats.org/officeDocument/2006/relationships/hyperlink" Target="https://fbref.com/en/squads/19538871/Manchester-United-Stats" TargetMode="External" Id="rId452"/><Relationship Type="http://schemas.openxmlformats.org/officeDocument/2006/relationships/hyperlink" Target="https://fbref.com/en/squads/b2b47a98/Newcastle-United-Stats" TargetMode="External" Id="rId453"/><Relationship Type="http://schemas.openxmlformats.org/officeDocument/2006/relationships/hyperlink" Target="https://fbref.com/en/squads/e4a775cb/Nottingham-Forest-Stats" TargetMode="External" Id="rId454"/><Relationship Type="http://schemas.openxmlformats.org/officeDocument/2006/relationships/hyperlink" Target="https://fbref.com/en/squads/33c895d4/Southampton-Stats" TargetMode="External" Id="rId455"/><Relationship Type="http://schemas.openxmlformats.org/officeDocument/2006/relationships/hyperlink" Target="https://fbref.com/en/squads/361ca564/Tottenham-Hotspur-Stats" TargetMode="External" Id="rId456"/><Relationship Type="http://schemas.openxmlformats.org/officeDocument/2006/relationships/hyperlink" Target="https://fbref.com/en/squads/7c21e445/West-Ham-United-Stats" TargetMode="External" Id="rId457"/><Relationship Type="http://schemas.openxmlformats.org/officeDocument/2006/relationships/hyperlink" Target="https://fbref.com/en/squads/8cec06e1/Wolverhampton-Wanderers-Stats" TargetMode="External" Id="rId458"/><Relationship Type="http://schemas.openxmlformats.org/officeDocument/2006/relationships/hyperlink" Target="https://fbref.com/en/squads/18bb7c10/Arsenal-Stats" TargetMode="External" Id="rId459"/><Relationship Type="http://schemas.openxmlformats.org/officeDocument/2006/relationships/hyperlink" Target="https://fbref.com/en/squads/8602292d/Aston-Villa-Stats" TargetMode="External" Id="rId460"/><Relationship Type="http://schemas.openxmlformats.org/officeDocument/2006/relationships/hyperlink" Target="https://fbref.com/en/squads/4ba7cbea/Bournemouth-Stats" TargetMode="External" Id="rId461"/><Relationship Type="http://schemas.openxmlformats.org/officeDocument/2006/relationships/hyperlink" Target="https://fbref.com/en/squads/cd051869/Brentford-Stats" TargetMode="External" Id="rId462"/><Relationship Type="http://schemas.openxmlformats.org/officeDocument/2006/relationships/hyperlink" Target="https://fbref.com/en/squads/d07537b9/Brighton-and-Hove-Albion-Stats" TargetMode="External" Id="rId463"/><Relationship Type="http://schemas.openxmlformats.org/officeDocument/2006/relationships/hyperlink" Target="https://fbref.com/en/squads/cff3d9bb/2024-2025/Chelsea-Stats" TargetMode="External" Id="rId464"/><Relationship Type="http://schemas.openxmlformats.org/officeDocument/2006/relationships/hyperlink" Target="https://fbref.com/en/squads/47c64c55/Crystal-Palace-Stats" TargetMode="External" Id="rId465"/><Relationship Type="http://schemas.openxmlformats.org/officeDocument/2006/relationships/hyperlink" Target="https://fbref.com/en/squads/d3fd31cc/Everton-Stats" TargetMode="External" Id="rId466"/><Relationship Type="http://schemas.openxmlformats.org/officeDocument/2006/relationships/hyperlink" Target="https://fbref.com/en/squads/fd962109/Fulham-Stats" TargetMode="External" Id="rId467"/><Relationship Type="http://schemas.openxmlformats.org/officeDocument/2006/relationships/hyperlink" Target="https://fbref.com/en/squads/b74092de/Ipswich-Town-Stats" TargetMode="External" Id="rId468"/><Relationship Type="http://schemas.openxmlformats.org/officeDocument/2006/relationships/hyperlink" Target="https://fbref.com/en/squads/a2d435b3/Leicester-City-Stats" TargetMode="External" Id="rId469"/><Relationship Type="http://schemas.openxmlformats.org/officeDocument/2006/relationships/hyperlink" Target="https://fbref.com/en/squads/822bd0ba/Liverpool-Stats" TargetMode="External" Id="rId470"/><Relationship Type="http://schemas.openxmlformats.org/officeDocument/2006/relationships/hyperlink" Target="https://fbref.com/en/squads/b8fd03ef/2024-2025/Manchester-City-Stats" TargetMode="External" Id="rId471"/><Relationship Type="http://schemas.openxmlformats.org/officeDocument/2006/relationships/hyperlink" Target="https://fbref.com/en/squads/19538871/Manchester-United-Stats" TargetMode="External" Id="rId472"/><Relationship Type="http://schemas.openxmlformats.org/officeDocument/2006/relationships/hyperlink" Target="https://fbref.com/en/squads/b2b47a98/Newcastle-United-Stats" TargetMode="External" Id="rId473"/><Relationship Type="http://schemas.openxmlformats.org/officeDocument/2006/relationships/hyperlink" Target="https://fbref.com/en/squads/e4a775cb/Nottingham-Forest-Stats" TargetMode="External" Id="rId474"/><Relationship Type="http://schemas.openxmlformats.org/officeDocument/2006/relationships/hyperlink" Target="https://fbref.com/en/squads/33c895d4/Southampton-Stats" TargetMode="External" Id="rId475"/><Relationship Type="http://schemas.openxmlformats.org/officeDocument/2006/relationships/hyperlink" Target="https://fbref.com/en/squads/361ca564/Tottenham-Hotspur-Stats" TargetMode="External" Id="rId476"/><Relationship Type="http://schemas.openxmlformats.org/officeDocument/2006/relationships/hyperlink" Target="https://fbref.com/en/squads/7c21e445/West-Ham-United-Stats" TargetMode="External" Id="rId477"/><Relationship Type="http://schemas.openxmlformats.org/officeDocument/2006/relationships/hyperlink" Target="https://fbref.com/en/squads/8cec06e1/Wolverhampton-Wanderers-Stats" TargetMode="External" Id="rId478"/><Relationship Type="http://schemas.openxmlformats.org/officeDocument/2006/relationships/hyperlink" Target="https://fbref.com/en/squads/18bb7c10/Arsenal-Stats" TargetMode="External" Id="rId479"/><Relationship Type="http://schemas.openxmlformats.org/officeDocument/2006/relationships/hyperlink" Target="https://fbref.com/en/squads/8602292d/Aston-Villa-Stats" TargetMode="External" Id="rId480"/><Relationship Type="http://schemas.openxmlformats.org/officeDocument/2006/relationships/hyperlink" Target="https://fbref.com/en/squads/4ba7cbea/Bournemouth-Stats" TargetMode="External" Id="rId481"/><Relationship Type="http://schemas.openxmlformats.org/officeDocument/2006/relationships/hyperlink" Target="https://fbref.com/en/squads/cd051869/Brentford-Stats" TargetMode="External" Id="rId482"/><Relationship Type="http://schemas.openxmlformats.org/officeDocument/2006/relationships/hyperlink" Target="https://fbref.com/en/squads/d07537b9/Brighton-and-Hove-Albion-Stats" TargetMode="External" Id="rId483"/><Relationship Type="http://schemas.openxmlformats.org/officeDocument/2006/relationships/hyperlink" Target="https://fbref.com/en/squads/cff3d9bb/2024-2025/Chelsea-Stats" TargetMode="External" Id="rId484"/><Relationship Type="http://schemas.openxmlformats.org/officeDocument/2006/relationships/hyperlink" Target="https://fbref.com/en/squads/47c64c55/Crystal-Palace-Stats" TargetMode="External" Id="rId485"/><Relationship Type="http://schemas.openxmlformats.org/officeDocument/2006/relationships/hyperlink" Target="https://fbref.com/en/squads/d3fd31cc/Everton-Stats" TargetMode="External" Id="rId486"/><Relationship Type="http://schemas.openxmlformats.org/officeDocument/2006/relationships/hyperlink" Target="https://fbref.com/en/squads/fd962109/Fulham-Stats" TargetMode="External" Id="rId487"/><Relationship Type="http://schemas.openxmlformats.org/officeDocument/2006/relationships/hyperlink" Target="https://fbref.com/en/squads/b74092de/Ipswich-Town-Stats" TargetMode="External" Id="rId488"/><Relationship Type="http://schemas.openxmlformats.org/officeDocument/2006/relationships/hyperlink" Target="https://fbref.com/en/squads/a2d435b3/Leicester-City-Stats" TargetMode="External" Id="rId489"/><Relationship Type="http://schemas.openxmlformats.org/officeDocument/2006/relationships/hyperlink" Target="https://fbref.com/en/squads/822bd0ba/Liverpool-Stats" TargetMode="External" Id="rId490"/><Relationship Type="http://schemas.openxmlformats.org/officeDocument/2006/relationships/hyperlink" Target="https://fbref.com/en/squads/b8fd03ef/2024-2025/Manchester-City-Stats" TargetMode="External" Id="rId491"/><Relationship Type="http://schemas.openxmlformats.org/officeDocument/2006/relationships/hyperlink" Target="https://fbref.com/en/squads/19538871/Manchester-United-Stats" TargetMode="External" Id="rId492"/><Relationship Type="http://schemas.openxmlformats.org/officeDocument/2006/relationships/hyperlink" Target="https://fbref.com/en/squads/b2b47a98/Newcastle-United-Stats" TargetMode="External" Id="rId493"/><Relationship Type="http://schemas.openxmlformats.org/officeDocument/2006/relationships/hyperlink" Target="https://fbref.com/en/squads/e4a775cb/Nottingham-Forest-Stats" TargetMode="External" Id="rId494"/><Relationship Type="http://schemas.openxmlformats.org/officeDocument/2006/relationships/hyperlink" Target="https://fbref.com/en/squads/33c895d4/Southampton-Stats" TargetMode="External" Id="rId495"/><Relationship Type="http://schemas.openxmlformats.org/officeDocument/2006/relationships/hyperlink" Target="https://fbref.com/en/squads/361ca564/Tottenham-Hotspur-Stats" TargetMode="External" Id="rId496"/><Relationship Type="http://schemas.openxmlformats.org/officeDocument/2006/relationships/hyperlink" Target="https://fbref.com/en/squads/7c21e445/West-Ham-United-Stats" TargetMode="External" Id="rId497"/><Relationship Type="http://schemas.openxmlformats.org/officeDocument/2006/relationships/hyperlink" Target="https://fbref.com/en/squads/8cec06e1/Wolverhampton-Wanderers-Stats" TargetMode="External" Id="rId498"/><Relationship Type="http://schemas.openxmlformats.org/officeDocument/2006/relationships/hyperlink" Target="https://fbref.com/en/squads/18bb7c10/Arsenal-Stats" TargetMode="External" Id="rId499"/><Relationship Type="http://schemas.openxmlformats.org/officeDocument/2006/relationships/hyperlink" Target="https://fbref.com/en/squads/8602292d/Aston-Villa-Stats" TargetMode="External" Id="rId500"/><Relationship Type="http://schemas.openxmlformats.org/officeDocument/2006/relationships/hyperlink" Target="https://fbref.com/en/squads/4ba7cbea/Bournemouth-Stats" TargetMode="External" Id="rId501"/><Relationship Type="http://schemas.openxmlformats.org/officeDocument/2006/relationships/hyperlink" Target="https://fbref.com/en/squads/cd051869/Brentford-Stats" TargetMode="External" Id="rId502"/><Relationship Type="http://schemas.openxmlformats.org/officeDocument/2006/relationships/hyperlink" Target="https://fbref.com/en/squads/d07537b9/Brighton-and-Hove-Albion-Stats" TargetMode="External" Id="rId503"/><Relationship Type="http://schemas.openxmlformats.org/officeDocument/2006/relationships/hyperlink" Target="https://fbref.com/en/squads/cff3d9bb/2024-2025/Chelsea-Stats" TargetMode="External" Id="rId504"/><Relationship Type="http://schemas.openxmlformats.org/officeDocument/2006/relationships/hyperlink" Target="https://fbref.com/en/squads/47c64c55/Crystal-Palace-Stats" TargetMode="External" Id="rId505"/><Relationship Type="http://schemas.openxmlformats.org/officeDocument/2006/relationships/hyperlink" Target="https://fbref.com/en/squads/d3fd31cc/Everton-Stats" TargetMode="External" Id="rId506"/><Relationship Type="http://schemas.openxmlformats.org/officeDocument/2006/relationships/hyperlink" Target="https://fbref.com/en/squads/fd962109/Fulham-Stats" TargetMode="External" Id="rId507"/><Relationship Type="http://schemas.openxmlformats.org/officeDocument/2006/relationships/hyperlink" Target="https://fbref.com/en/squads/b74092de/Ipswich-Town-Stats" TargetMode="External" Id="rId508"/><Relationship Type="http://schemas.openxmlformats.org/officeDocument/2006/relationships/hyperlink" Target="https://fbref.com/en/squads/a2d435b3/Leicester-City-Stats" TargetMode="External" Id="rId509"/><Relationship Type="http://schemas.openxmlformats.org/officeDocument/2006/relationships/hyperlink" Target="https://fbref.com/en/squads/822bd0ba/Liverpool-Stats" TargetMode="External" Id="rId510"/><Relationship Type="http://schemas.openxmlformats.org/officeDocument/2006/relationships/hyperlink" Target="https://fbref.com/en/squads/b8fd03ef/2024-2025/Manchester-City-Stats" TargetMode="External" Id="rId511"/><Relationship Type="http://schemas.openxmlformats.org/officeDocument/2006/relationships/hyperlink" Target="https://fbref.com/en/squads/19538871/Manchester-United-Stats" TargetMode="External" Id="rId512"/><Relationship Type="http://schemas.openxmlformats.org/officeDocument/2006/relationships/hyperlink" Target="https://fbref.com/en/squads/b2b47a98/Newcastle-United-Stats" TargetMode="External" Id="rId513"/><Relationship Type="http://schemas.openxmlformats.org/officeDocument/2006/relationships/hyperlink" Target="https://fbref.com/en/squads/e4a775cb/Nottingham-Forest-Stats" TargetMode="External" Id="rId514"/><Relationship Type="http://schemas.openxmlformats.org/officeDocument/2006/relationships/hyperlink" Target="https://fbref.com/en/squads/33c895d4/Southampton-Stats" TargetMode="External" Id="rId515"/><Relationship Type="http://schemas.openxmlformats.org/officeDocument/2006/relationships/hyperlink" Target="https://fbref.com/en/squads/361ca564/Tottenham-Hotspur-Stats" TargetMode="External" Id="rId516"/><Relationship Type="http://schemas.openxmlformats.org/officeDocument/2006/relationships/hyperlink" Target="https://fbref.com/en/squads/7c21e445/West-Ham-United-Stats" TargetMode="External" Id="rId517"/><Relationship Type="http://schemas.openxmlformats.org/officeDocument/2006/relationships/hyperlink" Target="https://fbref.com/en/squads/8cec06e1/Wolverhampton-Wanderers-Stats" TargetMode="External" Id="rId518"/></Relationships>
</file>

<file path=xl/worksheets/sheet1.xml><?xml version="1.0" encoding="utf-8"?>
<worksheet xmlns="http://schemas.openxmlformats.org/spreadsheetml/2006/main">
  <sheetPr codeName="Sheet1">
    <outlinePr summaryBelow="1" summaryRight="1"/>
    <pageSetUpPr/>
  </sheetPr>
  <dimension ref="A1:H85"/>
  <sheetViews>
    <sheetView showGridLines="0" tabSelected="1" workbookViewId="0">
      <pane ySplit="4" topLeftCell="A5" activePane="bottomLeft" state="frozen"/>
      <selection pane="bottomLeft" activeCell="A2" sqref="A2"/>
    </sheetView>
  </sheetViews>
  <sheetFormatPr baseColWidth="8" defaultColWidth="8.875" defaultRowHeight="15.75"/>
  <cols>
    <col width="17.125" customWidth="1" style="43" min="2" max="2"/>
    <col width="8" bestFit="1" customWidth="1" style="43" min="3" max="3"/>
    <col width="40.125" customWidth="1" style="43" min="4" max="4"/>
    <col width="8" bestFit="1" customWidth="1" style="43" min="5" max="5"/>
    <col width="17.125" customWidth="1" style="43" min="6" max="6"/>
  </cols>
  <sheetData>
    <row r="1" ht="23.25" customHeight="1" s="43">
      <c r="A1" s="9" t="inlineStr">
        <is>
          <t>FINALISED STATS</t>
        </is>
      </c>
      <c r="B1" s="5" t="n"/>
      <c r="C1" s="5" t="n"/>
      <c r="D1" s="5" t="n"/>
      <c r="E1" s="5" t="n"/>
      <c r="F1" s="5" t="n"/>
    </row>
    <row r="2" ht="18.75" customHeight="1" s="43">
      <c r="A2" s="4">
        <f>_xlfn.CONCAT(B4," ",D4," ",F4)</f>
        <v/>
      </c>
    </row>
    <row r="4">
      <c r="B4" s="6" t="inlineStr">
        <is>
          <t>WHU</t>
        </is>
      </c>
      <c r="C4" s="14" t="inlineStr">
        <is>
          <t>Stat Rank</t>
        </is>
      </c>
      <c r="D4" s="7" t="inlineStr">
        <is>
          <t>vs</t>
        </is>
      </c>
      <c r="E4" s="14" t="inlineStr">
        <is>
          <t>Stat Rank</t>
        </is>
      </c>
      <c r="F4" s="8" t="inlineStr">
        <is>
          <t>LIV</t>
        </is>
      </c>
    </row>
    <row r="5">
      <c r="B5" s="15">
        <f>INDEX(Team_Summary!$A$1:$JF$21,MATCH(_xlfn.XLOOKUP(B$4,Helpers!$C$4:$C$26,Helpers!$B$4:$B$26,"",0),Team_Summary!$A:$A,0),MATCH("Team_League Table_Overall_MP",Team_Summary!$1:$1,0))</f>
        <v/>
      </c>
      <c r="C5" s="15" t="n"/>
      <c r="D5" s="15" t="inlineStr">
        <is>
          <t>Matches Played</t>
        </is>
      </c>
      <c r="E5" s="15" t="n"/>
      <c r="F5" s="15">
        <f>INDEX(Team_Summary!$A$1:$JF$21,MATCH(_xlfn.XLOOKUP(F$4,Helpers!$C$4:$C$26,Helpers!$B$4:$B$26,"",0),Team_Summary!$A:$A,0),MATCH("Team_League Table_Overall_MP",Team_Summary!$1:$1,0))</f>
        <v/>
      </c>
    </row>
    <row r="6">
      <c r="B6" s="15">
        <f>INDEX(Team_Summary!$A$1:$JF$21,MATCH(_xlfn.XLOOKUP(B$4,Helpers!$C$4:$C$26,Helpers!$B$4:$B$26,"",0),Team_Summary!$A:$A,0),MATCH("Team_League Table_Home_W",Team_Summary!$1:$1,0))</f>
        <v/>
      </c>
      <c r="C6" s="15">
        <f t="array" ref="C6">INDEX('Rank and Stat Check'!$B$2:$DL$23,MATCH('Finalized Team Stats'!B$4,'Rank and Stat Check'!$B$2:$B$23,0),MATCH('Finalized Team Stats'!$D6,'Rank and Stat Check'!$B$2:$DL$2,0)+1)</f>
        <v/>
      </c>
      <c r="D6" s="15" t="inlineStr">
        <is>
          <t>Wins At Home</t>
        </is>
      </c>
      <c r="E6" s="15">
        <f t="array" ref="E6">INDEX('Rank and Stat Check'!$B$2:$DL$23,MATCH('Finalized Team Stats'!F$4,'Rank and Stat Check'!$B$2:$B$23,0),MATCH('Finalized Team Stats'!$D6,'Rank and Stat Check'!$B$2:$DL$2,0)+1)</f>
        <v/>
      </c>
      <c r="F6" s="15">
        <f>INDEX(Team_Summary!$A$1:$JF$21,MATCH(_xlfn.XLOOKUP(F$4,Helpers!$C$4:$C$26,Helpers!$B$4:$B$26,"",0),Team_Summary!$A:$A,0),MATCH("Team_League Table_Home_W",Team_Summary!$1:$1,0))</f>
        <v/>
      </c>
    </row>
    <row r="7">
      <c r="B7" s="15">
        <f>INDEX(Team_Summary!$A$1:$JF$21,MATCH(_xlfn.XLOOKUP(B$4,Helpers!$C$4:$C$26,Helpers!$B$4:$B$26,"",0),Team_Summary!$A:$A,0),MATCH("Team_League Table_Away_W",Team_Summary!$1:$1,0))</f>
        <v/>
      </c>
      <c r="C7" s="15">
        <f t="array" ref="C7">INDEX('Rank and Stat Check'!$B$2:$DL$23,MATCH('Finalized Team Stats'!B$4,'Rank and Stat Check'!$B$2:$B$23,0),MATCH('Finalized Team Stats'!$D7,'Rank and Stat Check'!$B$2:$DL$2,0)+1)</f>
        <v/>
      </c>
      <c r="D7" s="15" t="inlineStr">
        <is>
          <t>Wins Away</t>
        </is>
      </c>
      <c r="E7" s="15">
        <f t="array" ref="E7">INDEX('Rank and Stat Check'!$B$2:$DL$23,MATCH('Finalized Team Stats'!F$4,'Rank and Stat Check'!$B$2:$B$23,0),MATCH('Finalized Team Stats'!$D7,'Rank and Stat Check'!$B$2:$DL$2,0)+1)</f>
        <v/>
      </c>
      <c r="F7" s="15">
        <f>INDEX(Team_Summary!$A$1:$JF$21,MATCH(_xlfn.XLOOKUP(F$4,Helpers!$C$4:$C$26,Helpers!$B$4:$B$26,"",0),Team_Summary!$A:$A,0),MATCH("Team_League Table_Away_W",Team_Summary!$1:$1,0))</f>
        <v/>
      </c>
    </row>
    <row r="8">
      <c r="B8" s="15">
        <f>INDEX(Team_Summary!$A$1:$JF$21,MATCH(_xlfn.XLOOKUP(B$4,Helpers!$C$4:$C$26,Helpers!$B$4:$B$26,"",0),Team_Summary!$A:$A,0),MATCH("Team_League Table_Home_D",Team_Summary!$1:$1,0))</f>
        <v/>
      </c>
      <c r="C8" s="15">
        <f t="array" ref="C8">INDEX('Rank and Stat Check'!$B$2:$DL$23,MATCH('Finalized Team Stats'!B$4,'Rank and Stat Check'!$B$2:$B$23,0),MATCH('Finalized Team Stats'!$D8,'Rank and Stat Check'!$B$2:$DL$2,0)+1)</f>
        <v/>
      </c>
      <c r="D8" s="15" t="inlineStr">
        <is>
          <t>Draws At Home</t>
        </is>
      </c>
      <c r="E8" s="15">
        <f t="array" ref="E8">INDEX('Rank and Stat Check'!$B$2:$DL$23,MATCH('Finalized Team Stats'!F$4,'Rank and Stat Check'!$B$2:$B$23,0),MATCH('Finalized Team Stats'!$D8,'Rank and Stat Check'!$B$2:$DL$2,0)+1)</f>
        <v/>
      </c>
      <c r="F8" s="15">
        <f>INDEX(Team_Summary!$A$1:$JF$21,MATCH(_xlfn.XLOOKUP(F$4,Helpers!$C$4:$C$26,Helpers!$B$4:$B$26,"",0),Team_Summary!$A:$A,0),MATCH("Team_League Table_Home_D",Team_Summary!$1:$1,0))</f>
        <v/>
      </c>
    </row>
    <row r="9">
      <c r="B9" s="15">
        <f>INDEX(Team_Summary!$A$1:$JF$21,MATCH(_xlfn.XLOOKUP(B$4,Helpers!$C$4:$C$26,Helpers!$B$4:$B$26,"",0),Team_Summary!$A:$A,0),MATCH("Team_League Table_Away_D",Team_Summary!$1:$1,0))</f>
        <v/>
      </c>
      <c r="C9" s="15">
        <f t="array" ref="C9">INDEX('Rank and Stat Check'!$B$2:$DL$23,MATCH('Finalized Team Stats'!B$4,'Rank and Stat Check'!$B$2:$B$23,0),MATCH('Finalized Team Stats'!$D9,'Rank and Stat Check'!$B$2:$DL$2,0)+1)</f>
        <v/>
      </c>
      <c r="D9" s="15" t="inlineStr">
        <is>
          <t>Draws Away</t>
        </is>
      </c>
      <c r="E9" s="15">
        <f t="array" ref="E9">INDEX('Rank and Stat Check'!$B$2:$DL$23,MATCH('Finalized Team Stats'!F$4,'Rank and Stat Check'!$B$2:$B$23,0),MATCH('Finalized Team Stats'!$D9,'Rank and Stat Check'!$B$2:$DL$2,0)+1)</f>
        <v/>
      </c>
      <c r="F9" s="15">
        <f>INDEX(Team_Summary!$A$1:$JF$21,MATCH(_xlfn.XLOOKUP(F$4,Helpers!$C$4:$C$26,Helpers!$B$4:$B$26,"",0),Team_Summary!$A:$A,0),MATCH("Team_League Table_Away_D",Team_Summary!$1:$1,0))</f>
        <v/>
      </c>
    </row>
    <row r="10">
      <c r="B10" s="15">
        <f>INDEX(Team_Summary!$A$1:$JF$21,MATCH(_xlfn.XLOOKUP(B$4,Helpers!$C$4:$C$26,Helpers!$B$4:$B$26,"",0),Team_Summary!$A:$A,0),MATCH("Team_League Table_Home_L",Team_Summary!$1:$1,0))</f>
        <v/>
      </c>
      <c r="C10" s="15">
        <f t="array" ref="C10">INDEX('Rank and Stat Check'!$B$2:$DL$23,MATCH('Finalized Team Stats'!B$4,'Rank and Stat Check'!$B$2:$B$23,0),MATCH('Finalized Team Stats'!$D10,'Rank and Stat Check'!$B$2:$DL$2,0)+1)</f>
        <v/>
      </c>
      <c r="D10" s="15" t="inlineStr">
        <is>
          <t>Losses At Home</t>
        </is>
      </c>
      <c r="E10" s="15">
        <f t="array" ref="E10">INDEX('Rank and Stat Check'!$B$2:$DL$23,MATCH('Finalized Team Stats'!F$4,'Rank and Stat Check'!$B$2:$B$23,0),MATCH('Finalized Team Stats'!$D10,'Rank and Stat Check'!$B$2:$DL$2,0)+1)</f>
        <v/>
      </c>
      <c r="F10" s="15">
        <f>INDEX(Team_Summary!$A$1:$JF$21,MATCH(_xlfn.XLOOKUP(F$4,Helpers!$C$4:$C$26,Helpers!$B$4:$B$26,"",0),Team_Summary!$A:$A,0),MATCH("Team_League Table_Home_L",Team_Summary!$1:$1,0))</f>
        <v/>
      </c>
    </row>
    <row r="11">
      <c r="B11" s="15">
        <f>INDEX(Team_Summary!$A$1:$JF$21,MATCH(_xlfn.XLOOKUP(B$4,Helpers!$C$4:$C$26,Helpers!$B$4:$B$26,"",0),Team_Summary!$A:$A,0),MATCH("Team_League Table_Away_L",Team_Summary!$1:$1,0))</f>
        <v/>
      </c>
      <c r="C11" s="15">
        <f t="array" ref="C11">INDEX('Rank and Stat Check'!$B$2:$DL$23,MATCH('Finalized Team Stats'!B$4,'Rank and Stat Check'!$B$2:$B$23,0),MATCH('Finalized Team Stats'!$D11,'Rank and Stat Check'!$B$2:$DL$2,0)+1)</f>
        <v/>
      </c>
      <c r="D11" s="15" t="inlineStr">
        <is>
          <t>Losses Away</t>
        </is>
      </c>
      <c r="E11" s="15">
        <f t="array" ref="E11">INDEX('Rank and Stat Check'!$B$2:$DL$23,MATCH('Finalized Team Stats'!F$4,'Rank and Stat Check'!$B$2:$B$23,0),MATCH('Finalized Team Stats'!$D11,'Rank and Stat Check'!$B$2:$DL$2,0)+1)</f>
        <v/>
      </c>
      <c r="F11" s="15">
        <f>INDEX(Team_Summary!$A$1:$JF$21,MATCH(_xlfn.XLOOKUP(F$4,Helpers!$C$4:$C$26,Helpers!$B$4:$B$26,"",0),Team_Summary!$A:$A,0),MATCH("Team_League Table_Away_L",Team_Summary!$1:$1,0))</f>
        <v/>
      </c>
    </row>
    <row r="12">
      <c r="B12" s="31">
        <f>INDEX(Team_Summary!$A$1:$JF$21,MATCH(_xlfn.XLOOKUP(B$4,Helpers!$C$4:$C$26,Helpers!$B$4:$B$26,"",0),Team_Summary!$A:$A,0),MATCH("Team_League Table_Home_Pts",Team_Summary!$1:$1,0))</f>
        <v/>
      </c>
      <c r="C12" s="15">
        <f t="array" ref="C12">INDEX('Rank and Stat Check'!$B$2:$DL$23,MATCH('Finalized Team Stats'!B$4,'Rank and Stat Check'!$B$2:$B$23,0),MATCH('Finalized Team Stats'!$D12,'Rank and Stat Check'!$B$2:$DL$2,0)+1)</f>
        <v/>
      </c>
      <c r="D12" s="15" t="inlineStr">
        <is>
          <t>Points At Home</t>
        </is>
      </c>
      <c r="E12" s="15">
        <f t="array" ref="E12">INDEX('Rank and Stat Check'!$B$2:$DL$23,MATCH('Finalized Team Stats'!F$4,'Rank and Stat Check'!$B$2:$B$23,0),MATCH('Finalized Team Stats'!$D12,'Rank and Stat Check'!$B$2:$DL$2,0)+1)</f>
        <v/>
      </c>
      <c r="F12" s="31">
        <f>INDEX(Team_Summary!$A$1:$JF$21,MATCH(_xlfn.XLOOKUP(F$4,Helpers!$C$4:$C$26,Helpers!$B$4:$B$26,"",0),Team_Summary!$A:$A,0),MATCH("Team_League Table_Home_Pts",Team_Summary!$1:$1,0))</f>
        <v/>
      </c>
    </row>
    <row r="13">
      <c r="B13" s="15">
        <f>INDEX(Team_Summary!$A$1:$JF$21,MATCH(_xlfn.XLOOKUP(B$4,Helpers!$C$4:$C$26,Helpers!$B$4:$B$26,"",0),Team_Summary!$A:$A,0),MATCH("Team_League Table_Away_Pts",Team_Summary!$1:$1,0))</f>
        <v/>
      </c>
      <c r="C13" s="15">
        <f t="array" ref="C13">INDEX('Rank and Stat Check'!$B$2:$DL$23,MATCH('Finalized Team Stats'!B$4,'Rank and Stat Check'!$B$2:$B$23,0),MATCH('Finalized Team Stats'!$D13,'Rank and Stat Check'!$B$2:$DL$2,0)+1)</f>
        <v/>
      </c>
      <c r="D13" s="15" t="inlineStr">
        <is>
          <t>Points Away From Home</t>
        </is>
      </c>
      <c r="E13" s="15">
        <f t="array" ref="E13">INDEX('Rank and Stat Check'!$B$2:$DL$23,MATCH('Finalized Team Stats'!F$4,'Rank and Stat Check'!$B$2:$B$23,0),MATCH('Finalized Team Stats'!$D13,'Rank and Stat Check'!$B$2:$DL$2,0)+1)</f>
        <v/>
      </c>
      <c r="F13" s="15">
        <f>INDEX(Team_Summary!$A$1:$JF$21,MATCH(_xlfn.XLOOKUP(F$4,Helpers!$C$4:$C$26,Helpers!$B$4:$B$26,"",0),Team_Summary!$A:$A,0),MATCH("Team_League Table_Away_Pts",Team_Summary!$1:$1,0))</f>
        <v/>
      </c>
    </row>
    <row r="14">
      <c r="B14" s="16">
        <f>INDEX(Team_Summary!$A$1:$JF$21,MATCH(_xlfn.XLOOKUP(B$4,Helpers!$C$4:$C$26,Helpers!$B$4:$B$26,"",0),Team_Summary!$A:$A,0),MATCH("Team_League Table_Home_Pts/MP",Team_Summary!$1:$1,0))</f>
        <v/>
      </c>
      <c r="C14" s="15">
        <f t="array" ref="C14">INDEX('Rank and Stat Check'!$B$2:$DL$23,MATCH('Finalized Team Stats'!B$4,'Rank and Stat Check'!$B$2:$B$23,0),MATCH('Finalized Team Stats'!$D14,'Rank and Stat Check'!$B$2:$DL$2,0)+1)</f>
        <v/>
      </c>
      <c r="D14" s="15" t="inlineStr">
        <is>
          <t>Points Per Match Played At Home</t>
        </is>
      </c>
      <c r="E14" s="15">
        <f t="array" ref="E14">INDEX('Rank and Stat Check'!$B$2:$DL$23,MATCH('Finalized Team Stats'!F$4,'Rank and Stat Check'!$B$2:$B$23,0),MATCH('Finalized Team Stats'!$D14,'Rank and Stat Check'!$B$2:$DL$2,0)+1)</f>
        <v/>
      </c>
      <c r="F14" s="16">
        <f>INDEX(Team_Summary!$A$1:$JF$21,MATCH(_xlfn.XLOOKUP(F$4,Helpers!$C$4:$C$26,Helpers!$B$4:$B$26,"",0),Team_Summary!$A:$A,0),MATCH("Team_League Table_Home_Pts/MP",Team_Summary!$1:$1,0))</f>
        <v/>
      </c>
    </row>
    <row r="15">
      <c r="B15" s="15">
        <f>INDEX(Team_Summary!$A$1:$JF$21,MATCH(_xlfn.XLOOKUP(B$4,Helpers!$C$4:$C$26,Helpers!$B$4:$B$26,"",0),Team_Summary!$A:$A,0),MATCH("Team_League Table_Away_Pts/MP",Team_Summary!$1:$1,0))</f>
        <v/>
      </c>
      <c r="C15" s="15">
        <f t="array" ref="C15">INDEX('Rank and Stat Check'!$B$2:$DL$23,MATCH('Finalized Team Stats'!B$4,'Rank and Stat Check'!$B$2:$B$23,0),MATCH('Finalized Team Stats'!$D15,'Rank and Stat Check'!$B$2:$DL$2,0)+1)</f>
        <v/>
      </c>
      <c r="D15" s="15" t="inlineStr">
        <is>
          <t>Points Per Match Played Away</t>
        </is>
      </c>
      <c r="E15" s="15">
        <f t="array" ref="E15">INDEX('Rank and Stat Check'!$B$2:$DL$23,MATCH('Finalized Team Stats'!F$4,'Rank and Stat Check'!$B$2:$B$23,0),MATCH('Finalized Team Stats'!$D15,'Rank and Stat Check'!$B$2:$DL$2,0)+1)</f>
        <v/>
      </c>
      <c r="F15" s="15">
        <f>INDEX(Team_Summary!$A$1:$JF$21,MATCH(_xlfn.XLOOKUP(F$4,Helpers!$C$4:$C$26,Helpers!$B$4:$B$26,"",0),Team_Summary!$A:$A,0),MATCH("Team_League Table_Away_Pts/MP",Team_Summary!$1:$1,0))</f>
        <v/>
      </c>
    </row>
    <row r="16">
      <c r="B16" s="16">
        <f>SUM(B12:B13)/B5</f>
        <v/>
      </c>
      <c r="C16" s="15">
        <f t="array" ref="C16">INDEX('Rank and Stat Check'!$B$2:$DL$23,MATCH('Finalized Team Stats'!B$4,'Rank and Stat Check'!$B$2:$B$23,0),MATCH('Finalized Team Stats'!$D16,'Rank and Stat Check'!$B$2:$DL$2,0)+1)</f>
        <v/>
      </c>
      <c r="D16" s="15" t="inlineStr">
        <is>
          <t>Points Per Match</t>
        </is>
      </c>
      <c r="E16" s="15">
        <f t="array" ref="E16">INDEX('Rank and Stat Check'!$B$2:$DL$23,MATCH('Finalized Team Stats'!F$4,'Rank and Stat Check'!$B$2:$B$23,0),MATCH('Finalized Team Stats'!$D16,'Rank and Stat Check'!$B$2:$DL$2,0)+1)</f>
        <v/>
      </c>
      <c r="F16" s="16">
        <f>SUM(F12:F13)/F5</f>
        <v/>
      </c>
    </row>
    <row r="17">
      <c r="B17" s="15">
        <f>INDEX(Team_Summary!$A$1:$JF$21,MATCH(_xlfn.XLOOKUP(B$4,Helpers!$C$4:$C$26,Helpers!$B$4:$B$26,"",0),Team_Summary!$A:$A,0),MATCH("Team_League Table_Home_GF",Team_Summary!$1:$1,0))</f>
        <v/>
      </c>
      <c r="C17" s="15">
        <f t="array" ref="C17">INDEX('Rank and Stat Check'!$B$2:$DL$23,MATCH('Finalized Team Stats'!B$4,'Rank and Stat Check'!$B$2:$B$23,0),MATCH('Finalized Team Stats'!$D17,'Rank and Stat Check'!$B$2:$DL$2,0)+1)</f>
        <v/>
      </c>
      <c r="D17" s="15" t="inlineStr">
        <is>
          <t>Goals For At Home</t>
        </is>
      </c>
      <c r="E17" s="15">
        <f t="array" ref="E17">INDEX('Rank and Stat Check'!$B$2:$DL$23,MATCH('Finalized Team Stats'!F$4,'Rank and Stat Check'!$B$2:$B$23,0),MATCH('Finalized Team Stats'!$D17,'Rank and Stat Check'!$B$2:$DL$2,0)+1)</f>
        <v/>
      </c>
      <c r="F17" s="15">
        <f>INDEX(Team_Summary!$A$1:$JF$21,MATCH(_xlfn.XLOOKUP(F$4,Helpers!$C$4:$C$26,Helpers!$B$4:$B$26,"",0),Team_Summary!$A:$A,0),MATCH("Team_League Table_Home_GF",Team_Summary!$1:$1,0))</f>
        <v/>
      </c>
    </row>
    <row r="18">
      <c r="B18" s="15">
        <f>INDEX(Team_Summary!$A$1:$JF$21,MATCH(_xlfn.XLOOKUP(B$4,Helpers!$C$4:$C$26,Helpers!$B$4:$B$26,"",0),Team_Summary!$A:$A,0),MATCH("Team_League Table_Away_GF",Team_Summary!$1:$1,0))</f>
        <v/>
      </c>
      <c r="C18" s="15">
        <f t="array" ref="C18">INDEX('Rank and Stat Check'!$B$2:$DL$23,MATCH('Finalized Team Stats'!B$4,'Rank and Stat Check'!$B$2:$B$23,0),MATCH('Finalized Team Stats'!$D18,'Rank and Stat Check'!$B$2:$DL$2,0)+1)</f>
        <v/>
      </c>
      <c r="D18" s="15" t="inlineStr">
        <is>
          <t>Goals For Away</t>
        </is>
      </c>
      <c r="E18" s="15">
        <f t="array" ref="E18">INDEX('Rank and Stat Check'!$B$2:$DL$23,MATCH('Finalized Team Stats'!F$4,'Rank and Stat Check'!$B$2:$B$23,0),MATCH('Finalized Team Stats'!$D18,'Rank and Stat Check'!$B$2:$DL$2,0)+1)</f>
        <v/>
      </c>
      <c r="F18" s="15">
        <f>INDEX(Team_Summary!$A$1:$JF$21,MATCH(_xlfn.XLOOKUP(F$4,Helpers!$C$4:$C$26,Helpers!$B$4:$B$26,"",0),Team_Summary!$A:$A,0),MATCH("Team_League Table_Away_GF",Team_Summary!$1:$1,0))</f>
        <v/>
      </c>
    </row>
    <row r="19">
      <c r="B19" s="15">
        <f>INDEX(Team_Summary!$A$1:$JF$21,MATCH(_xlfn.XLOOKUP(B$4,Helpers!$C$4:$C$26,Helpers!$B$4:$B$26,"",0),Team_Summary!$A:$A,0),MATCH("Team_League Table_Home_GA",Team_Summary!$1:$1,0))</f>
        <v/>
      </c>
      <c r="C19" s="15">
        <f t="array" ref="C19">INDEX('Rank and Stat Check'!$B$2:$DL$23,MATCH('Finalized Team Stats'!B$4,'Rank and Stat Check'!$B$2:$B$23,0),MATCH('Finalized Team Stats'!$D19,'Rank and Stat Check'!$B$2:$DL$2,0)+1)</f>
        <v/>
      </c>
      <c r="D19" s="15" t="inlineStr">
        <is>
          <t>Goals Against At Home</t>
        </is>
      </c>
      <c r="E19" s="15">
        <f t="array" ref="E19">INDEX('Rank and Stat Check'!$B$2:$DL$23,MATCH('Finalized Team Stats'!F$4,'Rank and Stat Check'!$B$2:$B$23,0),MATCH('Finalized Team Stats'!$D19,'Rank and Stat Check'!$B$2:$DL$2,0)+1)</f>
        <v/>
      </c>
      <c r="F19" s="15">
        <f>INDEX(Team_Summary!$A$1:$JF$21,MATCH(_xlfn.XLOOKUP(F$4,Helpers!$C$4:$C$26,Helpers!$B$4:$B$26,"",0),Team_Summary!$A:$A,0),MATCH("Team_League Table_Home_GA",Team_Summary!$1:$1,0))</f>
        <v/>
      </c>
    </row>
    <row r="20">
      <c r="B20" s="15">
        <f>INDEX(Team_Summary!$A$1:$JF$21,MATCH(_xlfn.XLOOKUP(B$4,Helpers!$C$4:$C$26,Helpers!$B$4:$B$26,"",0),Team_Summary!$A:$A,0),MATCH("Team_League Table_Away_GA",Team_Summary!$1:$1,0))</f>
        <v/>
      </c>
      <c r="C20" s="15">
        <f t="array" ref="C20">INDEX('Rank and Stat Check'!$B$2:$DL$23,MATCH('Finalized Team Stats'!B$4,'Rank and Stat Check'!$B$2:$B$23,0),MATCH('Finalized Team Stats'!$D20,'Rank and Stat Check'!$B$2:$DL$2,0)+1)</f>
        <v/>
      </c>
      <c r="D20" s="15" t="inlineStr">
        <is>
          <t>Goals Against Away</t>
        </is>
      </c>
      <c r="E20" s="15">
        <f t="array" ref="E20">INDEX('Rank and Stat Check'!$B$2:$DL$23,MATCH('Finalized Team Stats'!F$4,'Rank and Stat Check'!$B$2:$B$23,0),MATCH('Finalized Team Stats'!$D20,'Rank and Stat Check'!$B$2:$DL$2,0)+1)</f>
        <v/>
      </c>
      <c r="F20" s="15">
        <f>INDEX(Team_Summary!$A$1:$JF$21,MATCH(_xlfn.XLOOKUP(F$4,Helpers!$C$4:$C$26,Helpers!$B$4:$B$26,"",0),Team_Summary!$A:$A,0),MATCH("Team_League Table_Away_GA",Team_Summary!$1:$1,0))</f>
        <v/>
      </c>
    </row>
    <row r="21">
      <c r="B21" s="15">
        <f>INDEX(Team_Summary!$A$1:$JF$21,MATCH(_xlfn.XLOOKUP(B$4,Helpers!$C$4:$C$26,Helpers!$B$4:$B$26,"",0),Team_Summary!$A:$A,0),MATCH("Team_League Table_Home_GD",Team_Summary!$1:$1,0))</f>
        <v/>
      </c>
      <c r="C21" s="15">
        <f t="array" ref="C21">INDEX('Rank and Stat Check'!$B$2:$DL$23,MATCH('Finalized Team Stats'!B$4,'Rank and Stat Check'!$B$2:$B$23,0),MATCH('Finalized Team Stats'!$D21,'Rank and Stat Check'!$B$2:$DL$2,0)+1)</f>
        <v/>
      </c>
      <c r="D21" s="15" t="inlineStr">
        <is>
          <t>Goal Difference At Home</t>
        </is>
      </c>
      <c r="E21" s="15">
        <f t="array" ref="E21">INDEX('Rank and Stat Check'!$B$2:$DL$23,MATCH('Finalized Team Stats'!F$4,'Rank and Stat Check'!$B$2:$B$23,0),MATCH('Finalized Team Stats'!$D21,'Rank and Stat Check'!$B$2:$DL$2,0)+1)</f>
        <v/>
      </c>
      <c r="F21" s="15">
        <f>INDEX(Team_Summary!$A$1:$JF$21,MATCH(_xlfn.XLOOKUP(F$4,Helpers!$C$4:$C$26,Helpers!$B$4:$B$26,"",0),Team_Summary!$A:$A,0),MATCH("Team_League Table_Home_GD",Team_Summary!$1:$1,0))</f>
        <v/>
      </c>
    </row>
    <row r="22">
      <c r="B22" s="15">
        <f>INDEX(Team_Summary!$A$1:$JF$21,MATCH(_xlfn.XLOOKUP(B$4,Helpers!$C$4:$C$26,Helpers!$B$4:$B$26,"",0),Team_Summary!$A:$A,0),MATCH("Team_League Table_Away_GD",Team_Summary!$1:$1,0))</f>
        <v/>
      </c>
      <c r="C22" s="15">
        <f t="array" ref="C22">INDEX('Rank and Stat Check'!$B$2:$DL$23,MATCH('Finalized Team Stats'!B$4,'Rank and Stat Check'!$B$2:$B$23,0),MATCH('Finalized Team Stats'!$D22,'Rank and Stat Check'!$B$2:$DL$2,0)+1)</f>
        <v/>
      </c>
      <c r="D22" s="15" t="inlineStr">
        <is>
          <t>Goal Difference Away</t>
        </is>
      </c>
      <c r="E22" s="15">
        <f t="array" ref="E22">INDEX('Rank and Stat Check'!$B$2:$DL$23,MATCH('Finalized Team Stats'!F$4,'Rank and Stat Check'!$B$2:$B$23,0),MATCH('Finalized Team Stats'!$D22,'Rank and Stat Check'!$B$2:$DL$2,0)+1)</f>
        <v/>
      </c>
      <c r="F22" s="15">
        <f>INDEX(Team_Summary!$A$1:$JF$21,MATCH(_xlfn.XLOOKUP(F$4,Helpers!$C$4:$C$26,Helpers!$B$4:$B$26,"",0),Team_Summary!$A:$A,0),MATCH("Team_League Table_Away_GD",Team_Summary!$1:$1,0))</f>
        <v/>
      </c>
    </row>
    <row r="23">
      <c r="B23" s="15">
        <f>INDEX(Team_Summary!$A$1:$JF$21,MATCH(_xlfn.XLOOKUP(B$4,Helpers!$C$4:$C$26,Helpers!$B$4:$B$26,"",0),Team_Summary!$A:$A,0),MATCH("Team_League Table_Overall_GD",Team_Summary!$1:$1,0))</f>
        <v/>
      </c>
      <c r="C23" s="15">
        <f t="array" ref="C23">INDEX('Rank and Stat Check'!$B$2:$DL$23,MATCH('Finalized Team Stats'!B$4,'Rank and Stat Check'!$B$2:$B$23,0),MATCH('Finalized Team Stats'!$D23,'Rank and Stat Check'!$B$2:$DL$2,0)+1)</f>
        <v/>
      </c>
      <c r="D23" s="15" t="inlineStr">
        <is>
          <t>Goal Difference</t>
        </is>
      </c>
      <c r="E23" s="15">
        <f t="array" ref="E23">INDEX('Rank and Stat Check'!$B$2:$DL$23,MATCH('Finalized Team Stats'!F$4,'Rank and Stat Check'!$B$2:$B$23,0),MATCH('Finalized Team Stats'!$D23,'Rank and Stat Check'!$B$2:$DL$2,0)+1)</f>
        <v/>
      </c>
      <c r="F23" s="15">
        <f>INDEX(Team_Summary!$A$1:$JF$21,MATCH(_xlfn.XLOOKUP(F$4,Helpers!$C$4:$C$26,Helpers!$B$4:$B$26,"",0),Team_Summary!$A:$A,0),MATCH("Team_League Table_Overall_GD",Team_Summary!$1:$1,0))</f>
        <v/>
      </c>
    </row>
    <row r="24">
      <c r="B24" s="16">
        <f>B23/B5</f>
        <v/>
      </c>
      <c r="C24" s="15">
        <f t="array" ref="C24">INDEX('Rank and Stat Check'!$B$2:$DL$23,MATCH('Finalized Team Stats'!B$4,'Rank and Stat Check'!$B$2:$B$23,0),MATCH('Finalized Team Stats'!$D24,'Rank and Stat Check'!$B$2:$DL$2,0)+1)</f>
        <v/>
      </c>
      <c r="D24" s="15" t="inlineStr">
        <is>
          <t>Goal Difference Per Game</t>
        </is>
      </c>
      <c r="E24" s="15">
        <f t="array" ref="E24">INDEX('Rank and Stat Check'!$B$2:$DL$23,MATCH('Finalized Team Stats'!F$4,'Rank and Stat Check'!$B$2:$B$23,0),MATCH('Finalized Team Stats'!$D24,'Rank and Stat Check'!$B$2:$DL$2,0)+1)</f>
        <v/>
      </c>
      <c r="F24" s="16">
        <f>F23/F5</f>
        <v/>
      </c>
    </row>
    <row r="25">
      <c r="B25" s="15">
        <f>INDEX(Team_Summary!$A$1:$JF$21,MATCH(_xlfn.XLOOKUP(B$4,Helpers!$C$4:$C$26,Helpers!$B$4:$B$26,"",0),Team_Summary!$A:$A,0),MATCH("Team_League Table_Overall_GA",Team_Summary!$1:$1,0))</f>
        <v/>
      </c>
      <c r="C25" s="15">
        <f t="array" ref="C25">INDEX('Rank and Stat Check'!$B$2:$DL$23,MATCH('Finalized Team Stats'!B$4,'Rank and Stat Check'!$B$2:$B$23,0),MATCH('Finalized Team Stats'!$D25,'Rank and Stat Check'!$B$2:$DL$2,0)+1)</f>
        <v/>
      </c>
      <c r="D25" s="15" t="inlineStr">
        <is>
          <t>Goals Conceded</t>
        </is>
      </c>
      <c r="E25" s="15">
        <f t="array" ref="E25">INDEX('Rank and Stat Check'!$B$2:$DL$23,MATCH('Finalized Team Stats'!F$4,'Rank and Stat Check'!$B$2:$B$23,0),MATCH('Finalized Team Stats'!$D25,'Rank and Stat Check'!$B$2:$DL$2,0)+1)</f>
        <v/>
      </c>
      <c r="F25" s="15">
        <f>INDEX(Team_Summary!$A$1:$JF$21,MATCH(_xlfn.XLOOKUP(F$4,Helpers!$C$4:$C$26,Helpers!$B$4:$B$26,"",0),Team_Summary!$A:$A,0),MATCH("Team_League Table_Overall_GA",Team_Summary!$1:$1,0))</f>
        <v/>
      </c>
    </row>
    <row r="26">
      <c r="B26" s="15">
        <f>INDEX(Team_Summary!$A$1:$JF$21,MATCH(_xlfn.XLOOKUP(B$4,Helpers!$C$4:$C$26,Helpers!$B$4:$B$26,"",0),Team_Summary!$A:$A,0),MATCH("Team_Standard_Stats_Gls",Team_Summary!$1:$1,0))</f>
        <v/>
      </c>
      <c r="C26" s="15">
        <f t="array" ref="C26">INDEX('Rank and Stat Check'!$B$2:$DL$23,MATCH('Finalized Team Stats'!B$4,'Rank and Stat Check'!$B$2:$B$23,0),MATCH('Finalized Team Stats'!$D26,'Rank and Stat Check'!$B$2:$DL$2,0)+1)</f>
        <v/>
      </c>
      <c r="D26" s="15" t="inlineStr">
        <is>
          <t>Team Goals</t>
        </is>
      </c>
      <c r="E26" s="15">
        <f t="array" ref="E26">INDEX('Rank and Stat Check'!$B$2:$DL$23,MATCH('Finalized Team Stats'!F$4,'Rank and Stat Check'!$B$2:$B$23,0),MATCH('Finalized Team Stats'!$D26,'Rank and Stat Check'!$B$2:$DL$2,0)+1)</f>
        <v/>
      </c>
      <c r="F26" s="15">
        <f>INDEX(Team_Summary!$A$1:$JF$21,MATCH(_xlfn.XLOOKUP(F$4,Helpers!$C$4:$C$26,Helpers!$B$4:$B$26,"",0),Team_Summary!$A:$A,0),MATCH("Team_Standard_Stats_Gls",Team_Summary!$1:$1,0))</f>
        <v/>
      </c>
    </row>
    <row r="27">
      <c r="B27" s="16">
        <f>B28/B$5</f>
        <v/>
      </c>
      <c r="C27" s="15">
        <f t="array" ref="C27">INDEX('Rank and Stat Check'!$B$2:$DL$23,MATCH('Finalized Team Stats'!B$4,'Rank and Stat Check'!$B$2:$B$23,0),MATCH('Finalized Team Stats'!$D27,'Rank and Stat Check'!$B$2:$DL$2,0)+1)</f>
        <v/>
      </c>
      <c r="D27" s="15" t="inlineStr">
        <is>
          <t xml:space="preserve">Goals Per Game </t>
        </is>
      </c>
      <c r="E27" s="15">
        <f t="array" ref="E27">INDEX('Rank and Stat Check'!$B$2:$DL$23,MATCH('Finalized Team Stats'!F$4,'Rank and Stat Check'!$B$2:$B$23,0),MATCH('Finalized Team Stats'!$D27,'Rank and Stat Check'!$B$2:$DL$2,0)+1)</f>
        <v/>
      </c>
      <c r="F27" s="16">
        <f>F28/F$5</f>
        <v/>
      </c>
      <c r="H27" s="2" t="n"/>
    </row>
    <row r="28">
      <c r="B28" s="15">
        <f>INDEX(Team_Summary!$A$1:$JF$21,MATCH(_xlfn.XLOOKUP(B$4,Helpers!$C$4:$C$26,Helpers!$B$4:$B$26,"",0),Team_Summary!$A:$A,0),MATCH("Team_League Table_Overall_GF",Team_Summary!$1:$1,0))</f>
        <v/>
      </c>
      <c r="C28" s="15">
        <f t="array" ref="C28">INDEX('Rank and Stat Check'!$B$2:$DL$23,MATCH('Finalized Team Stats'!B$4,'Rank and Stat Check'!$B$2:$B$23,0),MATCH('Finalized Team Stats'!$D28,'Rank and Stat Check'!$B$2:$DL$2,0)+1)</f>
        <v/>
      </c>
      <c r="D28" s="15" t="inlineStr">
        <is>
          <t>Goals Scored</t>
        </is>
      </c>
      <c r="E28" s="15">
        <f t="array" ref="E28">INDEX('Rank and Stat Check'!$B$2:$DL$23,MATCH('Finalized Team Stats'!F$4,'Rank and Stat Check'!$B$2:$B$23,0),MATCH('Finalized Team Stats'!$D28,'Rank and Stat Check'!$B$2:$DL$2,0)+1)</f>
        <v/>
      </c>
      <c r="F28" s="15">
        <f>INDEX(Team_Summary!$A$1:$JF$21,MATCH(_xlfn.XLOOKUP(F$4,Helpers!$C$4:$C$26,Helpers!$B$4:$B$26,"",0),Team_Summary!$A:$A,0),MATCH("Team_League Table_Overall_GF",Team_Summary!$1:$1,0))</f>
        <v/>
      </c>
    </row>
    <row r="29">
      <c r="B29" s="15">
        <f>INDEX(Team_Summary!$A$1:$JF$21,MATCH(_xlfn.XLOOKUP(B$4,Helpers!$C$4:$C$26,Helpers!$B$4:$B$26,"",0),Team_Summary!$A:$A,0),MATCH("Team_Standard_Stats_G-PK",Team_Summary!$1:$1,0))</f>
        <v/>
      </c>
      <c r="C29" s="15">
        <f t="array" ref="C29">INDEX('Rank and Stat Check'!$B$2:$DL$23,MATCH('Finalized Team Stats'!B$4,'Rank and Stat Check'!$B$2:$B$23,0),MATCH('Finalized Team Stats'!$D29,'Rank and Stat Check'!$B$2:$DL$2,0)+1)</f>
        <v/>
      </c>
      <c r="D29" s="15" t="inlineStr">
        <is>
          <t>Non Penalty Goals</t>
        </is>
      </c>
      <c r="E29" s="15">
        <f t="array" ref="E29">INDEX('Rank and Stat Check'!$B$2:$DL$23,MATCH('Finalized Team Stats'!F$4,'Rank and Stat Check'!$B$2:$B$23,0),MATCH('Finalized Team Stats'!$D29,'Rank and Stat Check'!$B$2:$DL$2,0)+1)</f>
        <v/>
      </c>
      <c r="F29" s="15">
        <f>INDEX(Team_Summary!$A$1:$JF$21,MATCH(_xlfn.XLOOKUP(F$4,Helpers!$C$4:$C$26,Helpers!$B$4:$B$26,"",0),Team_Summary!$A:$A,0),MATCH("Team_Standard_Stats_G-PK",Team_Summary!$1:$1,0))</f>
        <v/>
      </c>
    </row>
    <row r="30">
      <c r="B30" s="15">
        <f>INDEX(Team_Summary!$A$1:$JF$21,MATCH(_xlfn.XLOOKUP(B$4,Helpers!$C$4:$C$26,Helpers!$B$4:$B$26,"",0),Team_Summary!$A:$A,0),MATCH("Team_Standard_Stats_PK",Team_Summary!$1:$1,0))</f>
        <v/>
      </c>
      <c r="C30" s="15">
        <f t="array" ref="C30">INDEX('Rank and Stat Check'!$B$2:$DL$23,MATCH('Finalized Team Stats'!B$4,'Rank and Stat Check'!$B$2:$B$23,0),MATCH('Finalized Team Stats'!$D30,'Rank and Stat Check'!$B$2:$DL$2,0)+1)</f>
        <v/>
      </c>
      <c r="D30" s="15" t="inlineStr">
        <is>
          <t>Goals From Penalty Kicks</t>
        </is>
      </c>
      <c r="E30" s="15">
        <f t="array" ref="E30">INDEX('Rank and Stat Check'!$B$2:$DL$23,MATCH('Finalized Team Stats'!F$4,'Rank and Stat Check'!$B$2:$B$23,0),MATCH('Finalized Team Stats'!$D30,'Rank and Stat Check'!$B$2:$DL$2,0)+1)</f>
        <v/>
      </c>
      <c r="F30" s="15">
        <f>INDEX(Team_Summary!$A$1:$JF$21,MATCH(_xlfn.XLOOKUP(F$4,Helpers!$C$4:$C$26,Helpers!$B$4:$B$26,"",0),Team_Summary!$A:$A,0),MATCH("Team_Standard_Stats_PK",Team_Summary!$1:$1,0))</f>
        <v/>
      </c>
    </row>
    <row r="31">
      <c r="B31" s="16">
        <f>INDEX(Team_Summary!$A$1:$JF$21,MATCH(_xlfn.XLOOKUP(B$4,Helpers!$C$4:$C$26,Helpers!$B$4:$B$26,"",0),Team_Summary!$A:$A,0),MATCH("Team_Shooting_G/SoT",Team_Summary!$1:$1,0))</f>
        <v/>
      </c>
      <c r="C31" s="15">
        <f t="array" ref="C31">INDEX('Rank and Stat Check'!$B$2:$DL$23,MATCH('Finalized Team Stats'!B$4,'Rank and Stat Check'!$B$2:$B$23,0),MATCH('Finalized Team Stats'!$D31,'Rank and Stat Check'!$B$2:$DL$2,0)+1)</f>
        <v/>
      </c>
      <c r="D31" s="15" t="inlineStr">
        <is>
          <t>Goals Per Shot On Target</t>
        </is>
      </c>
      <c r="E31" s="15">
        <f t="array" ref="E31">INDEX('Rank and Stat Check'!$B$2:$DL$23,MATCH('Finalized Team Stats'!F$4,'Rank and Stat Check'!$B$2:$B$23,0),MATCH('Finalized Team Stats'!$D31,'Rank and Stat Check'!$B$2:$DL$2,0)+1)</f>
        <v/>
      </c>
      <c r="F31" s="16">
        <f>INDEX(Team_Summary!$A$1:$JF$21,MATCH(_xlfn.XLOOKUP(F$4,Helpers!$C$4:$C$26,Helpers!$B$4:$B$26,"",0),Team_Summary!$A:$A,0),MATCH("Team_Shooting_G/SoT",Team_Summary!$1:$1,0))</f>
        <v/>
      </c>
    </row>
    <row r="32">
      <c r="B32" s="16">
        <f>INDEX(Team_Summary!$A$1:$JF$21,MATCH(_xlfn.XLOOKUP(B$4,Helpers!$C$4:$C$26,Helpers!$B$4:$B$26,"",0),Team_Summary!$A:$A,0),MATCH("Team_Shooting_G/Sh",Team_Summary!$1:$1,0))</f>
        <v/>
      </c>
      <c r="C32" s="15">
        <f t="array" ref="C32">INDEX('Rank and Stat Check'!$B$2:$DL$23,MATCH('Finalized Team Stats'!B$4,'Rank and Stat Check'!$B$2:$B$23,0),MATCH('Finalized Team Stats'!$D32,'Rank and Stat Check'!$B$2:$DL$2,0)+1)</f>
        <v/>
      </c>
      <c r="D32" s="15" t="inlineStr">
        <is>
          <t>Goals Per Shot</t>
        </is>
      </c>
      <c r="E32" s="15">
        <f t="array" ref="E32">INDEX('Rank and Stat Check'!$B$2:$DL$23,MATCH('Finalized Team Stats'!F$4,'Rank and Stat Check'!$B$2:$B$23,0),MATCH('Finalized Team Stats'!$D32,'Rank and Stat Check'!$B$2:$DL$2,0)+1)</f>
        <v/>
      </c>
      <c r="F32" s="16">
        <f>INDEX(Team_Summary!$A$1:$JF$21,MATCH(_xlfn.XLOOKUP(F$4,Helpers!$C$4:$C$26,Helpers!$B$4:$B$26,"",0),Team_Summary!$A:$A,0),MATCH("Team_Shooting_G/Sh",Team_Summary!$1:$1,0))</f>
        <v/>
      </c>
    </row>
    <row r="33">
      <c r="B33" s="16">
        <f>INDEX(Team_Summary!$A$1:$JF$21,MATCH(_xlfn.XLOOKUP(B$4,Helpers!$C$4:$C$26,Helpers!$B$4:$B$26,"",0),Team_Summary!$A:$A,0),MATCH("Team_Shooting_SoT",Team_Summary!$1:$1,0))/B$5</f>
        <v/>
      </c>
      <c r="C33" s="15">
        <f t="array" ref="C33">INDEX('Rank and Stat Check'!$B$2:$DL$23,MATCH('Finalized Team Stats'!B$4,'Rank and Stat Check'!$B$2:$B$23,0),MATCH('Finalized Team Stats'!$D33,'Rank and Stat Check'!$B$2:$DL$2,0)+1)</f>
        <v/>
      </c>
      <c r="D33" s="15" t="inlineStr">
        <is>
          <t>Shots On Target Per Game</t>
        </is>
      </c>
      <c r="E33" s="15">
        <f t="array" ref="E33">INDEX('Rank and Stat Check'!$B$2:$DL$23,MATCH('Finalized Team Stats'!F$4,'Rank and Stat Check'!$B$2:$B$23,0),MATCH('Finalized Team Stats'!$D33,'Rank and Stat Check'!$B$2:$DL$2,0)+1)</f>
        <v/>
      </c>
      <c r="F33" s="16">
        <f>INDEX(Team_Summary!$A$1:$JF$21,MATCH(_xlfn.XLOOKUP(F$4,Helpers!$C$4:$C$26,Helpers!$B$4:$B$26,"",0),Team_Summary!$A:$A,0),MATCH("Team_Shooting_SoT",Team_Summary!$1:$1,0))/F$5</f>
        <v/>
      </c>
    </row>
    <row r="34">
      <c r="B34" s="15">
        <f>INDEX(Team_Summary!$A$1:$JF$21,MATCH(_xlfn.XLOOKUP(B$4,Helpers!$C$4:$C$26,Helpers!$B$4:$B$26,"",0),Team_Summary!$A:$A,0),MATCH("Team_Shooting_SoT%",Team_Summary!$1:$1,0))</f>
        <v/>
      </c>
      <c r="C34" s="15">
        <f t="array" ref="C34">INDEX('Rank and Stat Check'!$B$2:$DL$23,MATCH('Finalized Team Stats'!B$4,'Rank and Stat Check'!$B$2:$B$23,0),MATCH('Finalized Team Stats'!$D34,'Rank and Stat Check'!$B$2:$DL$2,0)+1)</f>
        <v/>
      </c>
      <c r="D34" s="15" t="inlineStr">
        <is>
          <t>Percentage Of Shots That Are On Target</t>
        </is>
      </c>
      <c r="E34" s="15">
        <f t="array" ref="E34">INDEX('Rank and Stat Check'!$B$2:$DL$23,MATCH('Finalized Team Stats'!F$4,'Rank and Stat Check'!$B$2:$B$23,0),MATCH('Finalized Team Stats'!$D34,'Rank and Stat Check'!$B$2:$DL$2,0)+1)</f>
        <v/>
      </c>
      <c r="F34" s="15">
        <f>INDEX(Team_Summary!$A$1:$JF$21,MATCH(_xlfn.XLOOKUP(F$4,Helpers!$C$4:$C$26,Helpers!$B$4:$B$26,"",0),Team_Summary!$A:$A,0),MATCH("Team_Shooting_SoT%",Team_Summary!$1:$1,0))</f>
        <v/>
      </c>
    </row>
    <row r="35">
      <c r="B35" s="16">
        <f>INDEX(Team_Summary!$A$1:$JF$21,MATCH(_xlfn.XLOOKUP(B$4,Helpers!$C$4:$C$26,Helpers!$B$4:$B$26,"",0),Team_Summary!$A:$A,0),MATCH("Team_Goalkeeping_SoTA",Team_Summary!$1:$1,0))/B$5</f>
        <v/>
      </c>
      <c r="C35" s="15">
        <f t="array" ref="C35">INDEX('Rank and Stat Check'!$B$2:$DL$23,MATCH('Finalized Team Stats'!B$4,'Rank and Stat Check'!$B$2:$B$23,0),MATCH('Finalized Team Stats'!$D35,'Rank and Stat Check'!$B$2:$DL$2,0)+1)</f>
        <v/>
      </c>
      <c r="D35" s="15" t="inlineStr">
        <is>
          <t>Shots On Target Against Per Game</t>
        </is>
      </c>
      <c r="E35" s="15">
        <f t="array" ref="E35">INDEX('Rank and Stat Check'!$B$2:$DL$23,MATCH('Finalized Team Stats'!F$4,'Rank and Stat Check'!$B$2:$B$23,0),MATCH('Finalized Team Stats'!$D35,'Rank and Stat Check'!$B$2:$DL$2,0)+1)</f>
        <v/>
      </c>
      <c r="F35" s="16">
        <f>INDEX(Team_Summary!$A$1:$JF$21,MATCH(_xlfn.XLOOKUP(F$4,Helpers!$C$4:$C$26,Helpers!$B$4:$B$26,"",0),Team_Summary!$A:$A,0),MATCH("Team_Goalkeeping_SoTA",Team_Summary!$1:$1,0))/F$5</f>
        <v/>
      </c>
    </row>
    <row r="36">
      <c r="B36" s="16">
        <f>INDEX(Team_Summary!$A$1:$JF$21,MATCH(_xlfn.XLOOKUP(B$4,Helpers!$C$4:$C$26,Helpers!$B$4:$B$26,"",0),Team_Summary!$A:$A,0),MATCH("Team_Standard_Stats_Ast.1",Team_Summary!$1:$1,0))</f>
        <v/>
      </c>
      <c r="C36" s="15">
        <f t="array" ref="C36">INDEX('Rank and Stat Check'!$B$2:$DL$23,MATCH('Finalized Team Stats'!B$4,'Rank and Stat Check'!$B$2:$B$23,0),MATCH('Finalized Team Stats'!$D36,'Rank and Stat Check'!$B$2:$DL$2,0)+1)</f>
        <v/>
      </c>
      <c r="D36" s="15" t="inlineStr">
        <is>
          <t>Assists Per Game</t>
        </is>
      </c>
      <c r="E36" s="15">
        <f t="array" ref="E36">INDEX('Rank and Stat Check'!$B$2:$DL$23,MATCH('Finalized Team Stats'!F$4,'Rank and Stat Check'!$B$2:$B$23,0),MATCH('Finalized Team Stats'!$D36,'Rank and Stat Check'!$B$2:$DL$2,0)+1)</f>
        <v/>
      </c>
      <c r="F36" s="16">
        <f>INDEX(Team_Summary!$A$1:$JF$21,MATCH(_xlfn.XLOOKUP(F$4,Helpers!$C$4:$C$26,Helpers!$B$4:$B$26,"",0),Team_Summary!$A:$A,0),MATCH("Team_Standard_Stats_Ast.1",Team_Summary!$1:$1,0))</f>
        <v/>
      </c>
    </row>
    <row r="37">
      <c r="B37" s="15">
        <f>INDEX(Team_Summary!$A$1:$JF$21,MATCH(_xlfn.XLOOKUP(B$4,Helpers!$C$4:$C$26,Helpers!$B$4:$B$26,"",0),Team_Summary!$A:$A,0),MATCH("Team_Standard_Stats_Ast",Team_Summary!$1:$1,0))</f>
        <v/>
      </c>
      <c r="C37" s="15">
        <f t="array" ref="C37">INDEX('Rank and Stat Check'!$B$2:$DL$23,MATCH('Finalized Team Stats'!B$4,'Rank and Stat Check'!$B$2:$B$23,0),MATCH('Finalized Team Stats'!$D37,'Rank and Stat Check'!$B$2:$DL$2,0)+1)</f>
        <v/>
      </c>
      <c r="D37" s="15" t="inlineStr">
        <is>
          <t>Team Assists</t>
        </is>
      </c>
      <c r="E37" s="15">
        <f t="array" ref="E37">INDEX('Rank and Stat Check'!$B$2:$DL$23,MATCH('Finalized Team Stats'!F$4,'Rank and Stat Check'!$B$2:$B$23,0),MATCH('Finalized Team Stats'!$D37,'Rank and Stat Check'!$B$2:$DL$2,0)+1)</f>
        <v/>
      </c>
      <c r="F37" s="15">
        <f>INDEX(Team_Summary!$A$1:$JF$21,MATCH(_xlfn.XLOOKUP(F$4,Helpers!$C$4:$C$26,Helpers!$B$4:$B$26,"",0),Team_Summary!$A:$A,0),MATCH("Team_Standard_Stats_Ast",Team_Summary!$1:$1,0))</f>
        <v/>
      </c>
    </row>
    <row r="38">
      <c r="B38" s="16">
        <f>INDEX(Team_Summary!$A$1:$JF$21,MATCH(_xlfn.XLOOKUP(B$4,Helpers!$C$4:$C$26,Helpers!$B$4:$B$26,"",0),Team_Summary!$A:$A,0),MATCH("Team_Goalkeeping_Save%",Team_Summary!$1:$1,0))</f>
        <v/>
      </c>
      <c r="C38" s="15">
        <f t="array" ref="C38">INDEX('Rank and Stat Check'!$B$2:$DL$23,MATCH('Finalized Team Stats'!B$4,'Rank and Stat Check'!$B$2:$B$23,0),MATCH('Finalized Team Stats'!$D38,'Rank and Stat Check'!$B$2:$DL$2,0)+1)</f>
        <v/>
      </c>
      <c r="D38" s="15" t="inlineStr">
        <is>
          <t>Save Percentage</t>
        </is>
      </c>
      <c r="E38" s="15">
        <f t="array" ref="E38">INDEX('Rank and Stat Check'!$B$2:$DL$23,MATCH('Finalized Team Stats'!F$4,'Rank and Stat Check'!$B$2:$B$23,0),MATCH('Finalized Team Stats'!$D38,'Rank and Stat Check'!$B$2:$DL$2,0)+1)</f>
        <v/>
      </c>
      <c r="F38" s="16">
        <f>INDEX(Team_Summary!$A$1:$JF$21,MATCH(_xlfn.XLOOKUP(F$4,Helpers!$C$4:$C$26,Helpers!$B$4:$B$26,"",0),Team_Summary!$A:$A,0),MATCH("Team_Goalkeeping_Save%",Team_Summary!$1:$1,0))</f>
        <v/>
      </c>
    </row>
    <row r="39">
      <c r="B39" s="16">
        <f>INDEX(Team_Summary!$A$1:$JF$21,MATCH(_xlfn.XLOOKUP(B$4,Helpers!$C$4:$C$26,Helpers!$B$4:$B$26,"",0),Team_Summary!$A:$A,0),MATCH("Team_Goalkeeping_CS%",Team_Summary!$1:$1,0))</f>
        <v/>
      </c>
      <c r="C39" s="15">
        <f t="array" ref="C39">INDEX('Rank and Stat Check'!$B$2:$DL$23,MATCH('Finalized Team Stats'!B$4,'Rank and Stat Check'!$B$2:$B$23,0),MATCH('Finalized Team Stats'!$D39,'Rank and Stat Check'!$B$2:$DL$2,0)+1)</f>
        <v/>
      </c>
      <c r="D39" s="15" t="inlineStr">
        <is>
          <t>Clean Sheet Percentage</t>
        </is>
      </c>
      <c r="E39" s="15">
        <f t="array" ref="E39">INDEX('Rank and Stat Check'!$B$2:$DL$23,MATCH('Finalized Team Stats'!F$4,'Rank and Stat Check'!$B$2:$B$23,0),MATCH('Finalized Team Stats'!$D39,'Rank and Stat Check'!$B$2:$DL$2,0)+1)</f>
        <v/>
      </c>
      <c r="F39" s="16">
        <f>INDEX(Team_Summary!$A$1:$JF$21,MATCH(_xlfn.XLOOKUP(F$4,Helpers!$C$4:$C$26,Helpers!$B$4:$B$26,"",0),Team_Summary!$A:$A,0),MATCH("Team_Goalkeeping_CS%",Team_Summary!$1:$1,0))</f>
        <v/>
      </c>
    </row>
    <row r="40">
      <c r="B40" s="16">
        <f>IF(INDEX(Team_Summary!$A$1:$JF$21,MATCH(_xlfn.XLOOKUP(B$4,Helpers!$C$4:$C$26,Helpers!$B$4:$B$26,"",0),Team_Summary!$A:$A,0),MATCH("Team_Goalkeeping_Save%.1",Team_Summary!$1:$1,0))=0,"N/A",INDEX(Team_Summary!$A$1:$JF$21,MATCH(_xlfn.XLOOKUP(B$4,Helpers!$C$4:$C$26,Helpers!$B$4:$B$26,"",0),Team_Summary!$A:$A,0),MATCH("Team_Goalkeeping_Save%.1",Team_Summary!$1:$1,0)))</f>
        <v/>
      </c>
      <c r="C40" s="15">
        <f t="array" ref="C40">INDEX('Rank and Stat Check'!$B$2:$DL$23,MATCH('Finalized Team Stats'!B$4,'Rank and Stat Check'!$B$2:$B$23,0),MATCH('Finalized Team Stats'!$D40,'Rank and Stat Check'!$B$2:$DL$2,0)+1)</f>
        <v/>
      </c>
      <c r="D40" s="15" t="inlineStr">
        <is>
          <t>Penalty Kick Save Percentage</t>
        </is>
      </c>
      <c r="E40" s="15">
        <f t="array" ref="E40">INDEX('Rank and Stat Check'!$B$2:$DL$23,MATCH('Finalized Team Stats'!F$4,'Rank and Stat Check'!$B$2:$B$23,0),MATCH('Finalized Team Stats'!$D40,'Rank and Stat Check'!$B$2:$DL$2,0)+1)</f>
        <v/>
      </c>
      <c r="F40" s="16">
        <f>IF(INDEX(Team_Summary!$A$1:$JF$21,MATCH(_xlfn.XLOOKUP(F$4,Helpers!$C$4:$C$26,Helpers!$B$4:$B$26,"",0),Team_Summary!$A:$A,0),MATCH("Team_Goalkeeping_Save%.1",Team_Summary!$1:$1,0))=0,"N/A",INDEX(Team_Summary!$A$1:$JF$21,MATCH(_xlfn.XLOOKUP(F$4,Helpers!$C$4:$C$26,Helpers!$B$4:$B$26,"",0),Team_Summary!$A:$A,0),MATCH("Team_Goalkeeping_Save%.1",Team_Summary!$1:$1,0)))</f>
        <v/>
      </c>
    </row>
    <row r="41">
      <c r="B41" s="17">
        <f>INDEX(Team_Summary!$A$1:$JF$21,MATCH(_xlfn.XLOOKUP(B$4,Helpers!$C$4:$C$26,Helpers!$B$4:$B$26,"",0),Team_Summary!$A:$A,0),MATCH("Team_Advanced_Goalkeeping_FK",Team_Summary!$1:$1,0))</f>
        <v/>
      </c>
      <c r="C41" s="15">
        <f t="array" ref="C41">INDEX('Rank and Stat Check'!$B$2:$DL$23,MATCH('Finalized Team Stats'!B$4,'Rank and Stat Check'!$B$2:$B$23,0),MATCH('Finalized Team Stats'!$D41,'Rank and Stat Check'!$B$2:$DL$2,0)+1)</f>
        <v/>
      </c>
      <c r="D41" s="15" t="inlineStr">
        <is>
          <t>Free Kick Goals Allowed</t>
        </is>
      </c>
      <c r="E41" s="15">
        <f t="array" ref="E41">INDEX('Rank and Stat Check'!$B$2:$DL$23,MATCH('Finalized Team Stats'!F$4,'Rank and Stat Check'!$B$2:$B$23,0),MATCH('Finalized Team Stats'!$D41,'Rank and Stat Check'!$B$2:$DL$2,0)+1)</f>
        <v/>
      </c>
      <c r="F41" s="17">
        <f>INDEX(Team_Summary!$A$1:$JF$21,MATCH(_xlfn.XLOOKUP(F$4,Helpers!$C$4:$C$26,Helpers!$B$4:$B$26,"",0),Team_Summary!$A:$A,0),MATCH("Team_Advanced_Goalkeeping_FK",Team_Summary!$1:$1,0))</f>
        <v/>
      </c>
    </row>
    <row r="42">
      <c r="B42" s="17">
        <f>INDEX(Team_Summary!$A$1:$JF$21,MATCH(_xlfn.XLOOKUP(B$4,Helpers!$C$4:$C$26,Helpers!$B$4:$B$26,"",0),Team_Summary!$A:$A,0),MATCH("Team_Advanced_Goalkeeping_CK",Team_Summary!$1:$1,0))</f>
        <v/>
      </c>
      <c r="C42" s="15">
        <f t="array" ref="C42">INDEX('Rank and Stat Check'!$B$2:$DL$23,MATCH('Finalized Team Stats'!B$4,'Rank and Stat Check'!$B$2:$B$23,0),MATCH('Finalized Team Stats'!$D42,'Rank and Stat Check'!$B$2:$DL$2,0)+1)</f>
        <v/>
      </c>
      <c r="D42" s="15" t="inlineStr">
        <is>
          <t>Goals From Corner Kicks Allowed</t>
        </is>
      </c>
      <c r="E42" s="15">
        <f t="array" ref="E42">INDEX('Rank and Stat Check'!$B$2:$DL$23,MATCH('Finalized Team Stats'!F$4,'Rank and Stat Check'!$B$2:$B$23,0),MATCH('Finalized Team Stats'!$D42,'Rank and Stat Check'!$B$2:$DL$2,0)+1)</f>
        <v/>
      </c>
      <c r="F42" s="17">
        <f>INDEX(Team_Summary!$A$1:$JF$21,MATCH(_xlfn.XLOOKUP(F$4,Helpers!$C$4:$C$26,Helpers!$B$4:$B$26,"",0),Team_Summary!$A:$A,0),MATCH("Team_Advanced_Goalkeeping_CK",Team_Summary!$1:$1,0))</f>
        <v/>
      </c>
    </row>
    <row r="43">
      <c r="B43" s="16">
        <f>INDEX(Team_Summary!$A$1:$JF$21,MATCH(_xlfn.XLOOKUP(B$4,Helpers!$C$4:$C$26,Helpers!$B$4:$B$26,"",0),Team_Summary!$A:$A,0),MATCH("Team_Advanced_Goalkeeping_Stp%",Team_Summary!$1:$1,0))</f>
        <v/>
      </c>
      <c r="C43" s="15">
        <f t="array" ref="C43">INDEX('Rank and Stat Check'!$B$2:$DL$23,MATCH('Finalized Team Stats'!B$4,'Rank and Stat Check'!$B$2:$B$23,0),MATCH('Finalized Team Stats'!$D43,'Rank and Stat Check'!$B$2:$DL$2,0)+1)</f>
        <v/>
      </c>
      <c r="D43" s="15" t="inlineStr">
        <is>
          <t>Percentage Of Crosses Stopped By Keeper</t>
        </is>
      </c>
      <c r="E43" s="15">
        <f t="array" ref="E43">INDEX('Rank and Stat Check'!$B$2:$DL$23,MATCH('Finalized Team Stats'!F$4,'Rank and Stat Check'!$B$2:$B$23,0),MATCH('Finalized Team Stats'!$D43,'Rank and Stat Check'!$B$2:$DL$2,0)+1)</f>
        <v/>
      </c>
      <c r="F43" s="16">
        <f>INDEX(Team_Summary!$A$1:$JF$21,MATCH(_xlfn.XLOOKUP(F$4,Helpers!$C$4:$C$26,Helpers!$B$4:$B$26,"",0),Team_Summary!$A:$A,0),MATCH("Team_Advanced_Goalkeeping_Stp%",Team_Summary!$1:$1,0))</f>
        <v/>
      </c>
    </row>
    <row r="44">
      <c r="B44" s="16">
        <f>IFERROR(INDEX(Team_Summary!$A$1:$JF$21,MATCH(_xlfn.XLOOKUP(B$4,Helpers!$C$4:$C$26,Helpers!$B$4:$B$26,"",0),Team_Summary!$A:$A,0),MATCH("Team_Defensive_Actions_TklW",Team_Summary!$1:$1,0))/B$5,"")</f>
        <v/>
      </c>
      <c r="C44" s="15">
        <f t="array" ref="C44">INDEX('Rank and Stat Check'!$B$2:$DL$23,MATCH('Finalized Team Stats'!B$4,'Rank and Stat Check'!$B$2:$B$23,0),MATCH('Finalized Team Stats'!$D44,'Rank and Stat Check'!$B$2:$DL$2,0)+1)</f>
        <v/>
      </c>
      <c r="D44" s="15" t="inlineStr">
        <is>
          <t>Tackles Won Per Game</t>
        </is>
      </c>
      <c r="E44" s="15">
        <f t="array" ref="E44">INDEX('Rank and Stat Check'!$B$2:$DL$23,MATCH('Finalized Team Stats'!F$4,'Rank and Stat Check'!$B$2:$B$23,0),MATCH('Finalized Team Stats'!$D44,'Rank and Stat Check'!$B$2:$DL$2,0)+1)</f>
        <v/>
      </c>
      <c r="F44" s="16">
        <f>IFERROR(INDEX(Team_Summary!$A$1:$JF$21,MATCH(_xlfn.XLOOKUP(F$4,Helpers!$C$4:$C$26,Helpers!$B$4:$B$26,"",0),Team_Summary!$A:$A,0),MATCH("Team_Defensive_Actions_TklW",Team_Summary!$1:$1,0))/F$5,"")</f>
        <v/>
      </c>
    </row>
    <row r="45">
      <c r="B45" s="16">
        <f>IFERROR(INDEX(Team_Summary!$A$1:$JF$21,MATCH(_xlfn.XLOOKUP(B$4,Helpers!$C$4:$C$26,Helpers!$B$4:$B$26,"",0),Team_Summary!$A:$A,0),MATCH("Team_Defensive_Actions_Sh",Team_Summary!$1:$1,0))/B$5,"")</f>
        <v/>
      </c>
      <c r="C45" s="15">
        <f t="array" ref="C45">INDEX('Rank and Stat Check'!$B$2:$DL$23,MATCH('Finalized Team Stats'!B$4,'Rank and Stat Check'!$B$2:$B$23,0),MATCH('Finalized Team Stats'!$D45,'Rank and Stat Check'!$B$2:$DL$2,0)+1)</f>
        <v/>
      </c>
      <c r="D45" s="15" t="inlineStr">
        <is>
          <t>Shots Blocked Per Game</t>
        </is>
      </c>
      <c r="E45" s="15">
        <f t="array" ref="E45">INDEX('Rank and Stat Check'!$B$2:$DL$23,MATCH('Finalized Team Stats'!F$4,'Rank and Stat Check'!$B$2:$B$23,0),MATCH('Finalized Team Stats'!$D45,'Rank and Stat Check'!$B$2:$DL$2,0)+1)</f>
        <v/>
      </c>
      <c r="F45" s="16">
        <f>IFERROR(INDEX(Team_Summary!$A$1:$JF$21,MATCH(_xlfn.XLOOKUP(F$4,Helpers!$C$4:$C$26,Helpers!$B$4:$B$26,"",0),Team_Summary!$A:$A,0),MATCH("Team_Defensive_Actions_Sh",Team_Summary!$1:$1,0))/F$5,"")</f>
        <v/>
      </c>
    </row>
    <row r="46">
      <c r="B46" s="16">
        <f>IFERROR(INDEX(Team_Summary!$A$1:$JF$21,MATCH(_xlfn.XLOOKUP(B$4,Helpers!$C$4:$C$26,Helpers!$B$4:$B$26,"",0),Team_Summary!$A:$A,0),MATCH("Team_Defensive_Actions_Int",Team_Summary!$1:$1,0))/B$5,"")</f>
        <v/>
      </c>
      <c r="C46" s="15">
        <f t="array" ref="C46">INDEX('Rank and Stat Check'!$B$2:$DL$23,MATCH('Finalized Team Stats'!B$4,'Rank and Stat Check'!$B$2:$B$23,0),MATCH('Finalized Team Stats'!$D46,'Rank and Stat Check'!$B$2:$DL$2,0)+1)</f>
        <v/>
      </c>
      <c r="D46" s="15" t="inlineStr">
        <is>
          <t>Interceptions Per Game</t>
        </is>
      </c>
      <c r="E46" s="15">
        <f t="array" ref="E46">INDEX('Rank and Stat Check'!$B$2:$DL$23,MATCH('Finalized Team Stats'!F$4,'Rank and Stat Check'!$B$2:$B$23,0),MATCH('Finalized Team Stats'!$D46,'Rank and Stat Check'!$B$2:$DL$2,0)+1)</f>
        <v/>
      </c>
      <c r="F46" s="16">
        <f>IFERROR(INDEX(Team_Summary!$A$1:$JF$21,MATCH(_xlfn.XLOOKUP(F$4,Helpers!$C$4:$C$26,Helpers!$B$4:$B$26,"",0),Team_Summary!$A:$A,0),MATCH("Team_Defensive_Actions_Int",Team_Summary!$1:$1,0))/F$5,"")</f>
        <v/>
      </c>
    </row>
    <row r="47">
      <c r="B47" s="16">
        <f>INDEX(Team_Summary!$A$1:$JF$21,MATCH(_xlfn.XLOOKUP(B$4,Helpers!$C$4:$C$26,Helpers!$B$4:$B$26,"",0),Team_Summary!$A:$A,0),MATCH("Team_Possession_Poss",Team_Summary!$1:$1,0))</f>
        <v/>
      </c>
      <c r="C47" s="15">
        <f t="array" ref="C47">INDEX('Rank and Stat Check'!$B$2:$DL$23,MATCH('Finalized Team Stats'!B$4,'Rank and Stat Check'!$B$2:$B$23,0),MATCH('Finalized Team Stats'!$D47,'Rank and Stat Check'!$B$2:$DL$2,0)+1)</f>
        <v/>
      </c>
      <c r="D47" s="15" t="inlineStr">
        <is>
          <t>Possession Percentage</t>
        </is>
      </c>
      <c r="E47" s="15">
        <f t="array" ref="E47">INDEX('Rank and Stat Check'!$B$2:$DL$23,MATCH('Finalized Team Stats'!F$4,'Rank and Stat Check'!$B$2:$B$23,0),MATCH('Finalized Team Stats'!$D47,'Rank and Stat Check'!$B$2:$DL$2,0)+1)</f>
        <v/>
      </c>
      <c r="F47" s="16">
        <f>INDEX(Team_Summary!$A$1:$JF$21,MATCH(_xlfn.XLOOKUP(F$4,Helpers!$C$4:$C$26,Helpers!$B$4:$B$26,"",0),Team_Summary!$A:$A,0),MATCH("Team_Possession_Poss",Team_Summary!$1:$1,0))</f>
        <v/>
      </c>
    </row>
    <row r="48">
      <c r="B48" s="31">
        <f>IFERROR(INDEX(Team_Summary!$A$1:$JF$21,MATCH(_xlfn.XLOOKUP(B$4,Helpers!$C$4:$C$26,Helpers!$B$4:$B$26,"",0),Team_Summary!$A:$A,0),MATCH("Team_Possession_Def Pen",Team_Summary!$1:$1,0))/B$5,"")</f>
        <v/>
      </c>
      <c r="C48" s="15">
        <f t="array" ref="C48">INDEX('Rank and Stat Check'!$B$2:$DL$23,MATCH('Finalized Team Stats'!B$4,'Rank and Stat Check'!$B$2:$B$23,0),MATCH('Finalized Team Stats'!$D48,'Rank and Stat Check'!$B$2:$DL$2,0)+1)</f>
        <v/>
      </c>
      <c r="D48" s="15" t="inlineStr">
        <is>
          <t>Touches In Defending Penalty Area Per Game</t>
        </is>
      </c>
      <c r="E48" s="15">
        <f t="array" ref="E48">INDEX('Rank and Stat Check'!$B$2:$DL$23,MATCH('Finalized Team Stats'!F$4,'Rank and Stat Check'!$B$2:$B$23,0),MATCH('Finalized Team Stats'!$D48,'Rank and Stat Check'!$B$2:$DL$2,0)+1)</f>
        <v/>
      </c>
      <c r="F48" s="31">
        <f>IFERROR(INDEX(Team_Summary!$A$1:$JF$21,MATCH(_xlfn.XLOOKUP(F$4,Helpers!$C$4:$C$26,Helpers!$B$4:$B$26,"",0),Team_Summary!$A:$A,0),MATCH("Team_Possession_Def Pen",Team_Summary!$1:$1,0))/F$5,"")</f>
        <v/>
      </c>
    </row>
    <row r="49">
      <c r="B49" s="31">
        <f>IFERROR(INDEX(Team_Summary!$A$1:$JF$21,MATCH(_xlfn.XLOOKUP(B$4,Helpers!$C$4:$C$26,Helpers!$B$4:$B$26,"",0),Team_Summary!$A:$A,0),MATCH("Team_Possession_Def 3rd",Team_Summary!$1:$1,0))/B$5,"")</f>
        <v/>
      </c>
      <c r="C49" s="15">
        <f t="array" ref="C49">INDEX('Rank and Stat Check'!$B$2:$DL$23,MATCH('Finalized Team Stats'!B$4,'Rank and Stat Check'!$B$2:$B$23,0),MATCH('Finalized Team Stats'!$D49,'Rank and Stat Check'!$B$2:$DL$2,0)+1)</f>
        <v/>
      </c>
      <c r="D49" s="15" t="inlineStr">
        <is>
          <t>Touches In Defensive Third Per Game</t>
        </is>
      </c>
      <c r="E49" s="15">
        <f t="array" ref="E49">INDEX('Rank and Stat Check'!$B$2:$DL$23,MATCH('Finalized Team Stats'!F$4,'Rank and Stat Check'!$B$2:$B$23,0),MATCH('Finalized Team Stats'!$D49,'Rank and Stat Check'!$B$2:$DL$2,0)+1)</f>
        <v/>
      </c>
      <c r="F49" s="31">
        <f>IFERROR(INDEX(Team_Summary!$A$1:$JF$21,MATCH(_xlfn.XLOOKUP(F$4,Helpers!$C$4:$C$26,Helpers!$B$4:$B$26,"",0),Team_Summary!$A:$A,0),MATCH("Team_Possession_Def 3rd",Team_Summary!$1:$1,0))/F$5,"")</f>
        <v/>
      </c>
    </row>
    <row r="50">
      <c r="B50" s="31">
        <f>IFERROR(INDEX(Team_Summary!$A$1:$JF$21,MATCH(_xlfn.XLOOKUP(B$4,Helpers!$C$4:$C$26,Helpers!$B$4:$B$26,"",0),Team_Summary!$A:$A,0),MATCH("Team_Possession_Mid 3rd",Team_Summary!$1:$1,0))/B$5,"")</f>
        <v/>
      </c>
      <c r="C50" s="15">
        <f t="array" ref="C50">INDEX('Rank and Stat Check'!$B$2:$DL$23,MATCH('Finalized Team Stats'!B$4,'Rank and Stat Check'!$B$2:$B$23,0),MATCH('Finalized Team Stats'!$D50,'Rank and Stat Check'!$B$2:$DL$2,0)+1)</f>
        <v/>
      </c>
      <c r="D50" s="15" t="inlineStr">
        <is>
          <t>Touches In Middle Third Per Game</t>
        </is>
      </c>
      <c r="E50" s="15">
        <f t="array" ref="E50">INDEX('Rank and Stat Check'!$B$2:$DL$23,MATCH('Finalized Team Stats'!F$4,'Rank and Stat Check'!$B$2:$B$23,0),MATCH('Finalized Team Stats'!$D50,'Rank and Stat Check'!$B$2:$DL$2,0)+1)</f>
        <v/>
      </c>
      <c r="F50" s="31">
        <f>IFERROR(INDEX(Team_Summary!$A$1:$JF$21,MATCH(_xlfn.XLOOKUP(F$4,Helpers!$C$4:$C$26,Helpers!$B$4:$B$26,"",0),Team_Summary!$A:$A,0),MATCH("Team_Possession_Mid 3rd",Team_Summary!$1:$1,0))/F$5,"")</f>
        <v/>
      </c>
    </row>
    <row r="51">
      <c r="B51" s="31">
        <f>IFERROR(INDEX(Team_Summary!$A$1:$JF$21,MATCH(_xlfn.XLOOKUP(B$4,Helpers!$C$4:$C$26,Helpers!$B$4:$B$26,"",0),Team_Summary!$A:$A,0),MATCH("Team_Possession_Att 3rd",Team_Summary!$1:$1,0))/B$5,"")</f>
        <v/>
      </c>
      <c r="C51" s="15">
        <f t="array" ref="C51">INDEX('Rank and Stat Check'!$B$2:$DL$23,MATCH('Finalized Team Stats'!B$4,'Rank and Stat Check'!$B$2:$B$23,0),MATCH('Finalized Team Stats'!$D51,'Rank and Stat Check'!$B$2:$DL$2,0)+1)</f>
        <v/>
      </c>
      <c r="D51" s="15" t="inlineStr">
        <is>
          <t>Touches In Attacking Third Per Game</t>
        </is>
      </c>
      <c r="E51" s="15">
        <f t="array" ref="E51">INDEX('Rank and Stat Check'!$B$2:$DL$23,MATCH('Finalized Team Stats'!F$4,'Rank and Stat Check'!$B$2:$B$23,0),MATCH('Finalized Team Stats'!$D51,'Rank and Stat Check'!$B$2:$DL$2,0)+1)</f>
        <v/>
      </c>
      <c r="F51" s="31">
        <f>IFERROR(INDEX(Team_Summary!$A$1:$JF$21,MATCH(_xlfn.XLOOKUP(F$4,Helpers!$C$4:$C$26,Helpers!$B$4:$B$26,"",0),Team_Summary!$A:$A,0),MATCH("Team_Possession_Att 3rd",Team_Summary!$1:$1,0))/F$5,"")</f>
        <v/>
      </c>
    </row>
    <row r="52">
      <c r="B52" s="31">
        <f>IFERROR(INDEX(Team_Summary!$A$1:$JF$21,MATCH(_xlfn.XLOOKUP(B$4,Helpers!$C$4:$C$26,Helpers!$B$4:$B$26,"",0),Team_Summary!$A:$A,0),MATCH("Team_Possession_Att Pen",Team_Summary!$1:$1,0))/B$5,"")</f>
        <v/>
      </c>
      <c r="C52" s="15">
        <f t="array" ref="C52">INDEX('Rank and Stat Check'!$B$2:$DL$23,MATCH('Finalized Team Stats'!B$4,'Rank and Stat Check'!$B$2:$B$23,0),MATCH('Finalized Team Stats'!$D52,'Rank and Stat Check'!$B$2:$DL$2,0)+1)</f>
        <v/>
      </c>
      <c r="D52" s="15" t="inlineStr">
        <is>
          <t>Touches In Attacking Penalty Area Per Game</t>
        </is>
      </c>
      <c r="E52" s="15">
        <f t="array" ref="E52">INDEX('Rank and Stat Check'!$B$2:$DL$23,MATCH('Finalized Team Stats'!F$4,'Rank and Stat Check'!$B$2:$B$23,0),MATCH('Finalized Team Stats'!$D52,'Rank and Stat Check'!$B$2:$DL$2,0)+1)</f>
        <v/>
      </c>
      <c r="F52" s="31">
        <f>IFERROR(INDEX(Team_Summary!$A$1:$JF$21,MATCH(_xlfn.XLOOKUP(F$4,Helpers!$C$4:$C$26,Helpers!$B$4:$B$26,"",0),Team_Summary!$A:$A,0),MATCH("Team_Possession_Att Pen",Team_Summary!$1:$1,0))/F$5,"")</f>
        <v/>
      </c>
    </row>
    <row r="53">
      <c r="B53" s="16">
        <f>INDEX(Team_Summary!$A$1:$JF$21,MATCH(_xlfn.XLOOKUP(B$4,Helpers!$C$4:$C$26,Helpers!$B$4:$B$26,"",0),Team_Summary!$A:$A,0),MATCH("Team_Miscellaneous_Stats_CrdY",Team_Summary!$1:$1,0))</f>
        <v/>
      </c>
      <c r="C53" s="15">
        <f t="array" ref="C53">INDEX('Rank and Stat Check'!$B$2:$DL$23,MATCH('Finalized Team Stats'!B$4,'Rank and Stat Check'!$B$2:$B$23,0),MATCH('Finalized Team Stats'!$D53,'Rank and Stat Check'!$B$2:$DL$2,0)+1)</f>
        <v/>
      </c>
      <c r="D53" s="15" t="inlineStr">
        <is>
          <t>Yellow Cards</t>
        </is>
      </c>
      <c r="E53" s="15">
        <f t="array" ref="E53">INDEX('Rank and Stat Check'!$B$2:$DL$23,MATCH('Finalized Team Stats'!F$4,'Rank and Stat Check'!$B$2:$B$23,0),MATCH('Finalized Team Stats'!$D53,'Rank and Stat Check'!$B$2:$DL$2,0)+1)</f>
        <v/>
      </c>
      <c r="F53" s="16">
        <f>INDEX(Team_Summary!$A$1:$JF$21,MATCH(_xlfn.XLOOKUP(F$4,Helpers!$C$4:$C$26,Helpers!$B$4:$B$26,"",0),Team_Summary!$A:$A,0),MATCH("Team_Miscellaneous_Stats_CrdY",Team_Summary!$1:$1,0))</f>
        <v/>
      </c>
    </row>
    <row r="54">
      <c r="B54" s="16">
        <f>INDEX(Team_Summary!$A$1:$JF$21,MATCH(_xlfn.XLOOKUP(B$4,Helpers!$C$4:$C$26,Helpers!$B$4:$B$26,"",0),Team_Summary!$A:$A,0),MATCH("Team_Miscellaneous_Stats_CrdY",Team_Summary!$1:$1,0))/B$5</f>
        <v/>
      </c>
      <c r="C54" s="15">
        <f t="array" ref="C54">INDEX('Rank and Stat Check'!$B$2:$DL$23,MATCH('Finalized Team Stats'!B$4,'Rank and Stat Check'!$B$2:$B$23,0),MATCH('Finalized Team Stats'!$D54,'Rank and Stat Check'!$B$2:$DL$2,0)+1)</f>
        <v/>
      </c>
      <c r="D54" s="15" t="inlineStr">
        <is>
          <t>Yellow Cards Per Game</t>
        </is>
      </c>
      <c r="E54" s="15">
        <f t="array" ref="E54">INDEX('Rank and Stat Check'!$B$2:$DL$23,MATCH('Finalized Team Stats'!F$4,'Rank and Stat Check'!$B$2:$B$23,0),MATCH('Finalized Team Stats'!$D54,'Rank and Stat Check'!$B$2:$DL$2,0)+1)</f>
        <v/>
      </c>
      <c r="F54" s="16">
        <f>INDEX(Team_Summary!$A$1:$JF$21,MATCH(_xlfn.XLOOKUP(F$4,Helpers!$C$4:$C$26,Helpers!$B$4:$B$26,"",0),Team_Summary!$A:$A,0),MATCH("Team_Miscellaneous_Stats_CrdY",Team_Summary!$1:$1,0))/F$5</f>
        <v/>
      </c>
    </row>
    <row r="55">
      <c r="B55" s="36">
        <f>INDEX(Team_Summary!$A$1:$JF$21,MATCH(_xlfn.XLOOKUP(B$4,Helpers!$C$4:$C$26,Helpers!$B$4:$B$26,"",0),Team_Summary!$A:$A,0),MATCH("Team_Miscellaneous_Stats_CrdR",Team_Summary!$1:$1,0))/B$5</f>
        <v/>
      </c>
      <c r="C55" s="15">
        <f t="array" ref="C55">INDEX('Rank and Stat Check'!$B$2:$DL$23,MATCH('Finalized Team Stats'!B$4,'Rank and Stat Check'!$B$2:$B$23,0),MATCH('Finalized Team Stats'!$D55,'Rank and Stat Check'!$B$2:$DL$2,0)+1)</f>
        <v/>
      </c>
      <c r="D55" s="15" t="inlineStr">
        <is>
          <t>Red Cards Per Game</t>
        </is>
      </c>
      <c r="E55" s="15">
        <f t="array" ref="E55">INDEX('Rank and Stat Check'!$B$2:$DL$23,MATCH('Finalized Team Stats'!F$4,'Rank and Stat Check'!$B$2:$B$23,0),MATCH('Finalized Team Stats'!$D55,'Rank and Stat Check'!$B$2:$DL$2,0)+1)</f>
        <v/>
      </c>
      <c r="F55" s="36">
        <f>INDEX(Team_Summary!$A$1:$JF$21,MATCH(_xlfn.XLOOKUP(F$4,Helpers!$C$4:$C$26,Helpers!$B$4:$B$26,"",0),Team_Summary!$A:$A,0),MATCH("Team_Miscellaneous_Stats_CrdR",Team_Summary!$1:$1,0))/F$5</f>
        <v/>
      </c>
    </row>
    <row r="56">
      <c r="B56" s="16">
        <f>INDEX(Team_Summary!$A$1:$JF$21,MATCH(_xlfn.XLOOKUP(B$4,Helpers!$C$4:$C$26,Helpers!$B$4:$B$26,"",0),Team_Summary!$A:$A,0),MATCH("Team_Miscellaneous_Stats_Fls",Team_Summary!$1:$1,0))/B$5</f>
        <v/>
      </c>
      <c r="C56" s="15">
        <f t="array" ref="C56">INDEX('Rank and Stat Check'!$B$2:$DL$23,MATCH('Finalized Team Stats'!B$4,'Rank and Stat Check'!$B$2:$B$23,0),MATCH('Finalized Team Stats'!$D56,'Rank and Stat Check'!$B$2:$DL$2,0)+1)</f>
        <v/>
      </c>
      <c r="D56" s="15" t="inlineStr">
        <is>
          <t>Fouls Commited Per Game</t>
        </is>
      </c>
      <c r="E56" s="15">
        <f t="array" ref="E56">INDEX('Rank and Stat Check'!$B$2:$DL$23,MATCH('Finalized Team Stats'!F$4,'Rank and Stat Check'!$B$2:$B$23,0),MATCH('Finalized Team Stats'!$D56,'Rank and Stat Check'!$B$2:$DL$2,0)+1)</f>
        <v/>
      </c>
      <c r="F56" s="16">
        <f>INDEX(Team_Summary!$A$1:$JF$21,MATCH(_xlfn.XLOOKUP(F$4,Helpers!$C$4:$C$26,Helpers!$B$4:$B$26,"",0),Team_Summary!$A:$A,0),MATCH("Team_Miscellaneous_Stats_Fls",Team_Summary!$1:$1,0))/F$5</f>
        <v/>
      </c>
    </row>
    <row r="57">
      <c r="B57" s="16">
        <f>INDEX(Team_Summary!$A$1:$JF$21,MATCH(_xlfn.XLOOKUP(B$4,Helpers!$C$4:$C$26,Helpers!$B$4:$B$26,"",0),Team_Summary!$A:$A,0),MATCH("Team_Miscellaneous_Stats_Fld",Team_Summary!$1:$1,0))/B$5</f>
        <v/>
      </c>
      <c r="C57" s="15">
        <f t="array" ref="C57">INDEX('Rank and Stat Check'!$B$2:$DL$23,MATCH('Finalized Team Stats'!B$4,'Rank and Stat Check'!$B$2:$B$23,0),MATCH('Finalized Team Stats'!$D57,'Rank and Stat Check'!$B$2:$DL$2,0)+1)</f>
        <v/>
      </c>
      <c r="D57" s="15" t="inlineStr">
        <is>
          <t>Fouls Drawn Per Game</t>
        </is>
      </c>
      <c r="E57" s="15">
        <f t="array" ref="E57">INDEX('Rank and Stat Check'!$B$2:$DL$23,MATCH('Finalized Team Stats'!F$4,'Rank and Stat Check'!$B$2:$B$23,0),MATCH('Finalized Team Stats'!$D57,'Rank and Stat Check'!$B$2:$DL$2,0)+1)</f>
        <v/>
      </c>
      <c r="F57" s="16">
        <f>INDEX(Team_Summary!$A$1:$JF$21,MATCH(_xlfn.XLOOKUP(F$4,Helpers!$C$4:$C$26,Helpers!$B$4:$B$26,"",0),Team_Summary!$A:$A,0),MATCH("Team_Miscellaneous_Stats_Fld",Team_Summary!$1:$1,0))/F$5</f>
        <v/>
      </c>
    </row>
    <row r="58">
      <c r="B58" s="16">
        <f>IFERROR(INDEX(Team_Summary!$A$1:$JF$21,MATCH(_xlfn.XLOOKUP(B$4,Helpers!$C$4:$C$26,Helpers!$B$4:$B$26,"",0),Team_Summary!$A:$A,0),MATCH("Team_Miscellaneous_Stats_Won",Team_Summary!$1:$1,0))/B$5,"")</f>
        <v/>
      </c>
      <c r="C58" s="15">
        <f t="array" ref="C58">INDEX('Rank and Stat Check'!$B$2:$DL$23,MATCH('Finalized Team Stats'!B$4,'Rank and Stat Check'!$B$2:$B$23,0),MATCH('Finalized Team Stats'!$D58,'Rank and Stat Check'!$B$2:$DL$2,0)+1)</f>
        <v/>
      </c>
      <c r="D58" s="15" t="inlineStr">
        <is>
          <t>Aerial Duels Won Per Game</t>
        </is>
      </c>
      <c r="E58" s="15">
        <f t="array" ref="E58">INDEX('Rank and Stat Check'!$B$2:$DL$23,MATCH('Finalized Team Stats'!F$4,'Rank and Stat Check'!$B$2:$B$23,0),MATCH('Finalized Team Stats'!$D58,'Rank and Stat Check'!$B$2:$DL$2,0)+1)</f>
        <v/>
      </c>
      <c r="F58" s="16">
        <f>IFERROR(INDEX(Team_Summary!$A$1:$JF$21,MATCH(_xlfn.XLOOKUP(F$4,Helpers!$C$4:$C$26,Helpers!$B$4:$B$26,"",0),Team_Summary!$A:$A,0),MATCH("Team_Miscellaneous_Stats_Won",Team_Summary!$1:$1,0))/F$5,"")</f>
        <v/>
      </c>
    </row>
    <row r="59">
      <c r="B59" s="17">
        <f>INDEX(Team_Summary!$A$1:$JF$21,MATCH(_xlfn.XLOOKUP(B$4,Helpers!$C$4:$C$26,Helpers!$B$4:$B$26,"",0),Team_Summary!$A:$A,0),MATCH("Team_Miscellaneous_Stats_Pkwon",Team_Summary!$1:$1,0))</f>
        <v/>
      </c>
      <c r="C59" s="15">
        <f t="array" ref="C59">INDEX('Rank and Stat Check'!$B$2:$DL$23,MATCH('Finalized Team Stats'!B$4,'Rank and Stat Check'!$B$2:$B$23,0),MATCH('Finalized Team Stats'!$D59,'Rank and Stat Check'!$B$2:$DL$2,0)+1)</f>
        <v/>
      </c>
      <c r="D59" s="15" t="inlineStr">
        <is>
          <t>Penalty Kicks Won</t>
        </is>
      </c>
      <c r="E59" s="15">
        <f t="array" ref="E59">INDEX('Rank and Stat Check'!$B$2:$DL$23,MATCH('Finalized Team Stats'!F$4,'Rank and Stat Check'!$B$2:$B$23,0),MATCH('Finalized Team Stats'!$D59,'Rank and Stat Check'!$B$2:$DL$2,0)+1)</f>
        <v/>
      </c>
      <c r="F59" s="17">
        <f>INDEX(Team_Summary!$A$1:$JF$21,MATCH(_xlfn.XLOOKUP(F$4,Helpers!$C$4:$C$26,Helpers!$B$4:$B$26,"",0),Team_Summary!$A:$A,0),MATCH("Team_Miscellaneous_Stats_Pkwon",Team_Summary!$1:$1,0))</f>
        <v/>
      </c>
    </row>
    <row r="60">
      <c r="B60" s="15">
        <f>INDEX(Team_Summary!$A$1:$JF$21,MATCH(_xlfn.XLOOKUP(B$4,Helpers!$C$4:$C$26,Helpers!$B$4:$B$26,"",0),Team_Summary!$A:$A,0),MATCH("Team_Miscellaneous_Stats_Pkcon",Team_Summary!$1:$1,0))</f>
        <v/>
      </c>
      <c r="C60" s="15">
        <f t="array" ref="C60">INDEX('Rank and Stat Check'!$B$2:$DL$23,MATCH('Finalized Team Stats'!B$4,'Rank and Stat Check'!$B$2:$B$23,0),MATCH('Finalized Team Stats'!$D60,'Rank and Stat Check'!$B$2:$DL$2,0)+1)</f>
        <v/>
      </c>
      <c r="D60" s="15" t="inlineStr">
        <is>
          <t>Penalty Kicks Given Away</t>
        </is>
      </c>
      <c r="E60" s="15">
        <f t="array" ref="E60">INDEX('Rank and Stat Check'!$B$2:$DL$23,MATCH('Finalized Team Stats'!F$4,'Rank and Stat Check'!$B$2:$B$23,0),MATCH('Finalized Team Stats'!$D60,'Rank and Stat Check'!$B$2:$DL$2,0)+1)</f>
        <v/>
      </c>
      <c r="F60" s="15">
        <f>INDEX(Team_Summary!$A$1:$JF$21,MATCH(_xlfn.XLOOKUP(F$4,Helpers!$C$4:$C$26,Helpers!$B$4:$B$26,"",0),Team_Summary!$A:$A,0),MATCH("Team_Miscellaneous_Stats_Pkcon",Team_Summary!$1:$1,0))</f>
        <v/>
      </c>
    </row>
    <row r="61">
      <c r="B61" s="15">
        <f>INDEX(Team_Summary!$A$1:$JF$21,MATCH(_xlfn.XLOOKUP(B$4,Helpers!$C$4:$C$26,Helpers!$B$4:$B$26,"",0),Team_Summary!$A:$A,0),MATCH("Team_Playing_Time_Age",Team_Summary!$1:$1,0))</f>
        <v/>
      </c>
      <c r="C61" s="15">
        <f t="array" ref="C61">INDEX('Rank and Stat Check'!$B$2:$DL$23,MATCH('Finalized Team Stats'!B$4,'Rank and Stat Check'!$B$2:$B$23,0),MATCH('Finalized Team Stats'!$D61,'Rank and Stat Check'!$B$2:$DL$2,0)+1)</f>
        <v/>
      </c>
      <c r="D61" s="15" t="inlineStr">
        <is>
          <t>Average Player Age</t>
        </is>
      </c>
      <c r="E61" s="15">
        <f t="array" ref="E61">INDEX('Rank and Stat Check'!$B$2:$DL$23,MATCH('Finalized Team Stats'!F$4,'Rank and Stat Check'!$B$2:$B$23,0),MATCH('Finalized Team Stats'!$D61,'Rank and Stat Check'!$B$2:$DL$2,0)+1)</f>
        <v/>
      </c>
      <c r="F61" s="15">
        <f>INDEX(Team_Summary!$A$1:$JF$21,MATCH(_xlfn.XLOOKUP(F$4,Helpers!$C$4:$C$26,Helpers!$B$4:$B$26,"",0),Team_Summary!$A:$A,0),MATCH("Team_Playing_Time_Age",Team_Summary!$1:$1,0))</f>
        <v/>
      </c>
    </row>
    <row r="62">
      <c r="B62" s="16">
        <f>INDEX(Team_Summary!$A$1:$JF$21,MATCH(_xlfn.XLOOKUP(B$4,Helpers!$C$4:$C$26,Helpers!$B$4:$B$26,"",0),Team_Summary!$A:$A,0),MATCH("Team_Pass_Types_CK",Team_Summary!$1:$1,0))/B$5</f>
        <v/>
      </c>
      <c r="C62" s="15">
        <f t="array" ref="C62">INDEX('Rank and Stat Check'!$B$2:$DL$23,MATCH('Finalized Team Stats'!B$4,'Rank and Stat Check'!$B$2:$B$23,0),MATCH('Finalized Team Stats'!$D62,'Rank and Stat Check'!$B$2:$DL$2,0)+1)</f>
        <v/>
      </c>
      <c r="D62" s="15" t="inlineStr">
        <is>
          <t>Corners Per Game</t>
        </is>
      </c>
      <c r="E62" s="15">
        <f t="array" ref="E62">INDEX('Rank and Stat Check'!$B$2:$DL$23,MATCH('Finalized Team Stats'!F$4,'Rank and Stat Check'!$B$2:$B$23,0),MATCH('Finalized Team Stats'!$D62,'Rank and Stat Check'!$B$2:$DL$2,0)+1)</f>
        <v/>
      </c>
      <c r="F62" s="16">
        <f>INDEX(Team_Summary!$A$1:$JF$21,MATCH(_xlfn.XLOOKUP(F$4,Helpers!$C$4:$C$26,Helpers!$B$4:$B$26,"",0),Team_Summary!$A:$A,0),MATCH("Team_Pass_Types_CK",Team_Summary!$1:$1,0))/F$5</f>
        <v/>
      </c>
    </row>
    <row r="63">
      <c r="B63" s="18" t="n"/>
      <c r="C63" s="18" t="n"/>
      <c r="D63" s="18" t="n"/>
      <c r="E63" s="18" t="n"/>
      <c r="F63" s="18" t="n"/>
    </row>
    <row r="64">
      <c r="B64" s="18" t="n"/>
      <c r="C64" s="18" t="n"/>
      <c r="D64" s="18" t="n"/>
      <c r="E64" s="18" t="n"/>
      <c r="F64" s="18" t="n"/>
    </row>
    <row r="65">
      <c r="B65" s="18" t="n"/>
      <c r="C65" s="18" t="n"/>
      <c r="D65" s="18" t="n"/>
      <c r="E65" s="18" t="n"/>
      <c r="F65" s="18" t="n"/>
    </row>
    <row r="66">
      <c r="B66" s="18" t="n"/>
      <c r="C66" s="18" t="n"/>
      <c r="D66" s="18" t="n"/>
      <c r="E66" s="18" t="n"/>
      <c r="F66" s="18" t="n"/>
    </row>
    <row r="67">
      <c r="B67" s="18" t="n"/>
      <c r="C67" s="18" t="n"/>
      <c r="D67" s="18" t="n"/>
      <c r="E67" s="18" t="n"/>
      <c r="F67" s="18" t="n"/>
    </row>
    <row r="68">
      <c r="B68" s="18" t="n"/>
      <c r="C68" s="18" t="n"/>
      <c r="D68" s="18" t="n"/>
      <c r="E68" s="18" t="n"/>
      <c r="F68" s="18" t="n"/>
    </row>
    <row r="69">
      <c r="B69" s="18" t="n"/>
      <c r="C69" s="18" t="n"/>
      <c r="D69" s="18" t="n"/>
      <c r="E69" s="18" t="n"/>
      <c r="F69" s="18" t="n"/>
    </row>
    <row r="70">
      <c r="B70" s="18" t="n"/>
      <c r="C70" s="18" t="n"/>
      <c r="D70" s="18" t="n"/>
      <c r="E70" s="18" t="n"/>
      <c r="F70" s="18" t="n"/>
    </row>
    <row r="71">
      <c r="B71" s="18" t="n"/>
      <c r="C71" s="18" t="n"/>
      <c r="D71" s="18" t="n"/>
      <c r="E71" s="18" t="n"/>
      <c r="F71" s="18" t="n"/>
    </row>
    <row r="72">
      <c r="B72" s="18" t="n"/>
      <c r="C72" s="18" t="n"/>
      <c r="D72" s="18" t="n"/>
      <c r="E72" s="18" t="n"/>
      <c r="F72" s="18" t="n"/>
    </row>
    <row r="73">
      <c r="B73" s="18" t="n"/>
      <c r="C73" s="18" t="n"/>
      <c r="D73" s="18" t="n"/>
      <c r="E73" s="18" t="n"/>
      <c r="F73" s="18" t="n"/>
    </row>
    <row r="74">
      <c r="B74" s="18" t="n"/>
      <c r="C74" s="18" t="n"/>
      <c r="D74" s="18" t="n"/>
      <c r="E74" s="18" t="n"/>
      <c r="F74" s="18" t="n"/>
    </row>
    <row r="75">
      <c r="B75" s="18" t="n"/>
      <c r="C75" s="18" t="n"/>
      <c r="D75" s="18" t="n"/>
      <c r="E75" s="18" t="n"/>
      <c r="F75" s="18" t="n"/>
    </row>
    <row r="76">
      <c r="B76" s="18" t="n"/>
      <c r="C76" s="18" t="n"/>
      <c r="D76" s="18" t="n"/>
      <c r="E76" s="18" t="n"/>
      <c r="F76" s="18" t="n"/>
    </row>
    <row r="77">
      <c r="B77" s="18" t="n"/>
      <c r="C77" s="18" t="n"/>
      <c r="D77" s="18" t="n"/>
      <c r="E77" s="18" t="n"/>
      <c r="F77" s="18" t="n"/>
    </row>
    <row r="78">
      <c r="B78" s="18" t="n"/>
      <c r="C78" s="18" t="n"/>
      <c r="D78" s="18" t="n"/>
      <c r="E78" s="18" t="n"/>
      <c r="F78" s="18" t="n"/>
    </row>
    <row r="79">
      <c r="B79" s="18" t="n"/>
      <c r="C79" s="18" t="n"/>
      <c r="D79" s="18" t="n"/>
      <c r="E79" s="18" t="n"/>
      <c r="F79" s="18" t="n"/>
    </row>
    <row r="80">
      <c r="B80" s="18" t="n"/>
      <c r="C80" s="18" t="n"/>
      <c r="D80" s="18" t="n"/>
      <c r="E80" s="18" t="n"/>
      <c r="F80" s="18" t="n"/>
    </row>
    <row r="81">
      <c r="B81" s="18" t="n"/>
      <c r="C81" s="18" t="n"/>
      <c r="D81" s="18" t="n"/>
      <c r="E81" s="18" t="n"/>
      <c r="F81" s="18" t="n"/>
    </row>
    <row r="82">
      <c r="B82" s="18" t="n"/>
      <c r="C82" s="18" t="n"/>
      <c r="D82" s="18" t="n"/>
      <c r="E82" s="18" t="n"/>
      <c r="F82" s="18" t="n"/>
    </row>
    <row r="83">
      <c r="B83" s="18" t="n"/>
      <c r="C83" s="18" t="n"/>
      <c r="D83" s="18" t="n"/>
      <c r="E83" s="18" t="n"/>
      <c r="F83" s="18" t="n"/>
    </row>
    <row r="84">
      <c r="B84" s="18" t="n"/>
      <c r="C84" s="18" t="n"/>
      <c r="D84" s="18" t="n"/>
      <c r="E84" s="18" t="n"/>
      <c r="F84" s="18" t="n"/>
    </row>
    <row r="85">
      <c r="B85" s="18" t="n"/>
      <c r="C85" s="18" t="n"/>
      <c r="D85" s="18" t="n"/>
      <c r="E85" s="18" t="n"/>
      <c r="F85" s="18" t="n"/>
    </row>
  </sheetData>
  <conditionalFormatting sqref="B6 F6">
    <cfRule type="colorScale" priority="73">
      <colorScale>
        <cfvo type="min"/>
        <cfvo type="max"/>
        <color rgb="FFFFC7CE"/>
        <color rgb="FFC6EFCE"/>
      </colorScale>
    </cfRule>
  </conditionalFormatting>
  <conditionalFormatting sqref="B11 F11">
    <cfRule type="colorScale" priority="70">
      <colorScale>
        <cfvo type="min"/>
        <cfvo type="max"/>
        <color rgb="FFC6EFCE"/>
        <color rgb="FFFFC7CE"/>
      </colorScale>
    </cfRule>
  </conditionalFormatting>
  <conditionalFormatting sqref="B12 F12">
    <cfRule type="colorScale" priority="69">
      <colorScale>
        <cfvo type="min"/>
        <cfvo type="max"/>
        <color rgb="FFFFC7CE"/>
        <color rgb="FFC6EFCE"/>
      </colorScale>
    </cfRule>
  </conditionalFormatting>
  <conditionalFormatting sqref="B14 F14">
    <cfRule type="colorScale" priority="61">
      <colorScale>
        <cfvo type="min"/>
        <cfvo type="max"/>
        <color rgb="FFFFC7CE"/>
        <color rgb="FFC6EFCE"/>
      </colorScale>
    </cfRule>
  </conditionalFormatting>
  <conditionalFormatting sqref="B15 F15">
    <cfRule type="colorScale" priority="60">
      <colorScale>
        <cfvo type="min"/>
        <cfvo type="max"/>
        <color rgb="FFFFC7CE"/>
        <color rgb="FFC6EFCE"/>
      </colorScale>
    </cfRule>
  </conditionalFormatting>
  <conditionalFormatting sqref="B18 F18">
    <cfRule type="colorScale" priority="66">
      <colorScale>
        <cfvo type="min"/>
        <cfvo type="max"/>
        <color rgb="FFFFC7CE"/>
        <color rgb="FFC6EFCE"/>
      </colorScale>
    </cfRule>
  </conditionalFormatting>
  <conditionalFormatting sqref="B19 F19">
    <cfRule type="colorScale" priority="65">
      <colorScale>
        <cfvo type="min"/>
        <cfvo type="max"/>
        <color rgb="FFC6EFCE"/>
        <color rgb="FFFFC7CE"/>
      </colorScale>
    </cfRule>
  </conditionalFormatting>
  <conditionalFormatting sqref="B20 F20">
    <cfRule type="colorScale" priority="64">
      <colorScale>
        <cfvo type="min"/>
        <cfvo type="max"/>
        <color rgb="FFC6EFCE"/>
        <color rgb="FFFFC7CE"/>
      </colorScale>
    </cfRule>
  </conditionalFormatting>
  <conditionalFormatting sqref="B21 F21">
    <cfRule type="colorScale" priority="63">
      <colorScale>
        <cfvo type="min"/>
        <cfvo type="max"/>
        <color rgb="FFFFC7CE"/>
        <color rgb="FFC6EFCE"/>
      </colorScale>
    </cfRule>
  </conditionalFormatting>
  <conditionalFormatting sqref="B22 F22">
    <cfRule type="colorScale" priority="62">
      <colorScale>
        <cfvo type="min"/>
        <cfvo type="max"/>
        <color rgb="FFFFC7CE"/>
        <color rgb="FFC6EFCE"/>
      </colorScale>
    </cfRule>
  </conditionalFormatting>
  <conditionalFormatting sqref="B23 F23">
    <cfRule type="colorScale" priority="78">
      <colorScale>
        <cfvo type="min"/>
        <cfvo type="max"/>
        <color rgb="FFFFC7CE"/>
        <color rgb="FFC6EFCE"/>
      </colorScale>
    </cfRule>
  </conditionalFormatting>
  <conditionalFormatting sqref="B24 F24">
    <cfRule type="colorScale" priority="93">
      <colorScale>
        <cfvo type="min"/>
        <cfvo type="max"/>
        <color rgb="FFFFC7CE"/>
        <color rgb="FFC6EFCE"/>
      </colorScale>
    </cfRule>
  </conditionalFormatting>
  <conditionalFormatting sqref="B26 F26">
    <cfRule type="colorScale" priority="106">
      <colorScale>
        <cfvo type="min"/>
        <cfvo type="max"/>
        <color rgb="FFFFC7CE"/>
        <color rgb="FFC6EFCE"/>
      </colorScale>
    </cfRule>
  </conditionalFormatting>
  <conditionalFormatting sqref="B29 F29">
    <cfRule type="colorScale" priority="102">
      <colorScale>
        <cfvo type="min"/>
        <cfvo type="max"/>
        <color rgb="FFFFC7CE"/>
        <color rgb="FFC6EFCE"/>
      </colorScale>
    </cfRule>
  </conditionalFormatting>
  <conditionalFormatting sqref="B30 F30">
    <cfRule type="colorScale" priority="101">
      <colorScale>
        <cfvo type="min"/>
        <cfvo type="max"/>
        <color rgb="FFFFC7CE"/>
        <color rgb="FFC6EFCE"/>
      </colorScale>
    </cfRule>
  </conditionalFormatting>
  <conditionalFormatting sqref="B31 F31">
    <cfRule type="colorScale" priority="94">
      <colorScale>
        <cfvo type="min"/>
        <cfvo type="max"/>
        <color rgb="FFFFC7CE"/>
        <color rgb="FFC6EFCE"/>
      </colorScale>
    </cfRule>
  </conditionalFormatting>
  <conditionalFormatting sqref="B32 F32">
    <cfRule type="colorScale" priority="84">
      <colorScale>
        <cfvo type="min"/>
        <cfvo type="max"/>
        <color rgb="FFFFC7CE"/>
        <color rgb="FFC6EFCE"/>
      </colorScale>
    </cfRule>
  </conditionalFormatting>
  <conditionalFormatting sqref="B33 F33">
    <cfRule type="colorScale" priority="105">
      <colorScale>
        <cfvo type="min"/>
        <cfvo type="max"/>
        <color rgb="FFFFC7CE"/>
        <color rgb="FFC6EFCE"/>
      </colorScale>
    </cfRule>
  </conditionalFormatting>
  <conditionalFormatting sqref="B34 F34">
    <cfRule type="colorScale" priority="95">
      <colorScale>
        <cfvo type="min"/>
        <cfvo type="max"/>
        <color rgb="FFFFC7CE"/>
        <color rgb="FFC6EFCE"/>
      </colorScale>
    </cfRule>
  </conditionalFormatting>
  <conditionalFormatting sqref="B35 F35">
    <cfRule type="colorScale" priority="53">
      <colorScale>
        <cfvo type="min"/>
        <cfvo type="max"/>
        <color rgb="FFC6EFCE"/>
        <color rgb="FFFFC7CE"/>
      </colorScale>
    </cfRule>
  </conditionalFormatting>
  <conditionalFormatting sqref="B36 F36">
    <cfRule type="colorScale" priority="99">
      <colorScale>
        <cfvo type="min"/>
        <cfvo type="max"/>
        <color rgb="FFFFC7CE"/>
        <color rgb="FFC6EFCE"/>
      </colorScale>
    </cfRule>
  </conditionalFormatting>
  <conditionalFormatting sqref="B40 F40">
    <cfRule type="colorScale" priority="58">
      <colorScale>
        <cfvo type="min"/>
        <cfvo type="max"/>
        <color rgb="FFFFC7CE"/>
        <color rgb="FFC6EFCE"/>
      </colorScale>
    </cfRule>
  </conditionalFormatting>
  <conditionalFormatting sqref="B42 F42">
    <cfRule type="colorScale" priority="96">
      <colorScale>
        <cfvo type="min"/>
        <cfvo type="max"/>
        <color rgb="FFC6EFCE"/>
        <color rgb="FFFFC7CE"/>
      </colorScale>
    </cfRule>
  </conditionalFormatting>
  <conditionalFormatting sqref="B43 F43">
    <cfRule type="colorScale" priority="85">
      <colorScale>
        <cfvo type="min"/>
        <cfvo type="max"/>
        <color rgb="FFFFC7CE"/>
        <color rgb="FFC6EFCE"/>
      </colorScale>
    </cfRule>
  </conditionalFormatting>
  <conditionalFormatting sqref="B45 F45">
    <cfRule type="colorScale" priority="55">
      <colorScale>
        <cfvo type="min"/>
        <cfvo type="max"/>
        <color rgb="FFFFC7CE"/>
        <color rgb="FFC6EFCE"/>
      </colorScale>
    </cfRule>
  </conditionalFormatting>
  <conditionalFormatting sqref="B48 F48">
    <cfRule type="colorScale" priority="3">
      <colorScale>
        <cfvo type="min"/>
        <cfvo type="max"/>
        <color rgb="FFFFC7CE"/>
        <color rgb="FFC6EFCE"/>
      </colorScale>
    </cfRule>
  </conditionalFormatting>
  <conditionalFormatting sqref="B49 F49">
    <cfRule type="colorScale" priority="2">
      <colorScale>
        <cfvo type="min"/>
        <cfvo type="max"/>
        <color rgb="FFFFC7CE"/>
        <color rgb="FFC6EFCE"/>
      </colorScale>
    </cfRule>
  </conditionalFormatting>
  <conditionalFormatting sqref="B50 F50">
    <cfRule type="colorScale" priority="74">
      <colorScale>
        <cfvo type="min"/>
        <cfvo type="max"/>
        <color rgb="FFFFC7CE"/>
        <color rgb="FFC6EFCE"/>
      </colorScale>
    </cfRule>
  </conditionalFormatting>
  <conditionalFormatting sqref="B51 F51">
    <cfRule type="colorScale" priority="83">
      <colorScale>
        <cfvo type="min"/>
        <cfvo type="max"/>
        <color rgb="FFFFC7CE"/>
        <color rgb="FFC6EFCE"/>
      </colorScale>
    </cfRule>
  </conditionalFormatting>
  <conditionalFormatting sqref="B55 F55">
    <cfRule type="colorScale" priority="89">
      <colorScale>
        <cfvo type="min"/>
        <cfvo type="max"/>
        <color rgb="FFC6EFCE"/>
        <color rgb="FFFFC7CE"/>
      </colorScale>
    </cfRule>
  </conditionalFormatting>
  <conditionalFormatting sqref="B56 F56">
    <cfRule type="colorScale" priority="76">
      <colorScale>
        <cfvo type="min"/>
        <cfvo type="max"/>
        <color rgb="FFC6EFCE"/>
        <color rgb="FFFFC7CE"/>
      </colorScale>
    </cfRule>
  </conditionalFormatting>
  <conditionalFormatting sqref="B57 F57">
    <cfRule type="colorScale" priority="103">
      <colorScale>
        <cfvo type="min"/>
        <cfvo type="max"/>
        <color rgb="FFFFC7CE"/>
        <color rgb="FFC6EFCE"/>
      </colorScale>
    </cfRule>
  </conditionalFormatting>
  <conditionalFormatting sqref="B58 F58">
    <cfRule type="colorScale" priority="92">
      <colorScale>
        <cfvo type="min"/>
        <cfvo type="max"/>
        <color rgb="FFFFC7CE"/>
        <color rgb="FFC6EFCE"/>
      </colorScale>
    </cfRule>
  </conditionalFormatting>
  <conditionalFormatting sqref="B59 F59">
    <cfRule type="colorScale" priority="75">
      <colorScale>
        <cfvo type="min"/>
        <cfvo type="max"/>
        <color rgb="FFFFC7CE"/>
        <color rgb="FFC6EFCE"/>
      </colorScale>
    </cfRule>
  </conditionalFormatting>
  <conditionalFormatting sqref="B61 F61">
    <cfRule type="colorScale" priority="59">
      <colorScale>
        <cfvo type="min"/>
        <cfvo type="max"/>
        <color rgb="FFC6EFCE"/>
        <color rgb="FFFFC7CE"/>
      </colorScale>
    </cfRule>
  </conditionalFormatting>
  <conditionalFormatting sqref="B62 F62">
    <cfRule type="colorScale" priority="1">
      <colorScale>
        <cfvo type="min"/>
        <cfvo type="max"/>
        <color rgb="FFFFC7CE"/>
        <color rgb="FFC6EFCE"/>
      </colorScale>
    </cfRule>
  </conditionalFormatting>
  <conditionalFormatting sqref="B7 F7">
    <cfRule type="colorScale" priority="72">
      <colorScale>
        <cfvo type="min"/>
        <cfvo type="max"/>
        <color rgb="FFFFC7CE"/>
        <color rgb="FFC6EFCE"/>
      </colorScale>
    </cfRule>
  </conditionalFormatting>
  <conditionalFormatting sqref="B10 F10">
    <cfRule type="colorScale" priority="71">
      <colorScale>
        <cfvo type="min"/>
        <cfvo type="max"/>
        <color rgb="FFC6EFCE"/>
        <color rgb="FFFFC7CE"/>
      </colorScale>
    </cfRule>
  </conditionalFormatting>
  <conditionalFormatting sqref="B13 F13">
    <cfRule type="colorScale" priority="68">
      <colorScale>
        <cfvo type="min"/>
        <cfvo type="max"/>
        <color rgb="FFFFC7CE"/>
        <color rgb="FFC6EFCE"/>
      </colorScale>
    </cfRule>
  </conditionalFormatting>
  <conditionalFormatting sqref="B16 F16">
    <cfRule type="colorScale" priority="81">
      <colorScale>
        <cfvo type="min"/>
        <cfvo type="max"/>
        <color rgb="FFFFC7CE"/>
        <color rgb="FFC6EFCE"/>
      </colorScale>
    </cfRule>
  </conditionalFormatting>
  <conditionalFormatting sqref="B17 F17">
    <cfRule type="colorScale" priority="67">
      <colorScale>
        <cfvo type="min"/>
        <cfvo type="max"/>
        <color rgb="FFFFC7CE"/>
        <color rgb="FFC6EFCE"/>
      </colorScale>
    </cfRule>
  </conditionalFormatting>
  <conditionalFormatting sqref="B25 F25">
    <cfRule type="colorScale" priority="79">
      <colorScale>
        <cfvo type="min"/>
        <cfvo type="max"/>
        <color rgb="FFC6EFCE"/>
        <color rgb="FFFFC7CE"/>
      </colorScale>
    </cfRule>
  </conditionalFormatting>
  <conditionalFormatting sqref="B27 F27">
    <cfRule type="colorScale" priority="100">
      <colorScale>
        <cfvo type="min"/>
        <cfvo type="max"/>
        <color rgb="FFFFC7CE"/>
        <color rgb="FFC6EFCE"/>
      </colorScale>
    </cfRule>
  </conditionalFormatting>
  <conditionalFormatting sqref="B28 F28">
    <cfRule type="colorScale" priority="80">
      <colorScale>
        <cfvo type="min"/>
        <cfvo type="max"/>
        <color rgb="FFFFC7CE"/>
        <color rgb="FFC6EFCE"/>
      </colorScale>
    </cfRule>
  </conditionalFormatting>
  <conditionalFormatting sqref="B37 F37">
    <cfRule type="colorScale" priority="108">
      <colorScale>
        <cfvo type="min"/>
        <cfvo type="max"/>
        <color rgb="FFFFC7CE"/>
        <color rgb="FFC6EFCE"/>
      </colorScale>
    </cfRule>
  </conditionalFormatting>
  <conditionalFormatting sqref="B38 F38">
    <cfRule type="colorScale" priority="88">
      <colorScale>
        <cfvo type="min"/>
        <cfvo type="max"/>
        <color rgb="FFFFC7CE"/>
        <color rgb="FFC6EFCE"/>
      </colorScale>
    </cfRule>
  </conditionalFormatting>
  <conditionalFormatting sqref="B39 F39">
    <cfRule type="colorScale" priority="97">
      <colorScale>
        <cfvo type="min"/>
        <cfvo type="max"/>
        <color rgb="FFFFC7CE"/>
        <color rgb="FFC6EFCE"/>
      </colorScale>
    </cfRule>
  </conditionalFormatting>
  <conditionalFormatting sqref="B41 F41">
    <cfRule type="colorScale" priority="57">
      <colorScale>
        <cfvo type="min"/>
        <cfvo type="max"/>
        <color rgb="FFC6EFCE"/>
        <color rgb="FFFFC7CE"/>
      </colorScale>
    </cfRule>
  </conditionalFormatting>
  <conditionalFormatting sqref="B44 F44">
    <cfRule type="colorScale" priority="86">
      <colorScale>
        <cfvo type="min"/>
        <cfvo type="max"/>
        <color rgb="FFFFC7CE"/>
        <color rgb="FFC6EFCE"/>
      </colorScale>
    </cfRule>
  </conditionalFormatting>
  <conditionalFormatting sqref="B46 F46">
    <cfRule type="colorScale" priority="54">
      <colorScale>
        <cfvo type="min"/>
        <cfvo type="max"/>
        <color rgb="FFFFC7CE"/>
        <color rgb="FFC6EFCE"/>
      </colorScale>
    </cfRule>
  </conditionalFormatting>
  <conditionalFormatting sqref="B47 F47">
    <cfRule type="colorScale" priority="109">
      <colorScale>
        <cfvo type="min"/>
        <cfvo type="max"/>
        <color rgb="FFFFC7CE"/>
        <color rgb="FFC6EFCE"/>
      </colorScale>
    </cfRule>
  </conditionalFormatting>
  <conditionalFormatting sqref="B52 F52">
    <cfRule type="colorScale" priority="82">
      <colorScale>
        <cfvo type="min"/>
        <cfvo type="max"/>
        <color rgb="FFFFC7CE"/>
        <color rgb="FFC6EFCE"/>
      </colorScale>
    </cfRule>
  </conditionalFormatting>
  <conditionalFormatting sqref="B53 F53">
    <cfRule type="colorScale" priority="77">
      <colorScale>
        <cfvo type="min"/>
        <cfvo type="max"/>
        <color rgb="FFC6EFCE"/>
        <color rgb="FFFFC7CE"/>
      </colorScale>
    </cfRule>
  </conditionalFormatting>
  <conditionalFormatting sqref="B54 F54">
    <cfRule type="colorScale" priority="90">
      <colorScale>
        <cfvo type="min"/>
        <cfvo type="max"/>
        <color rgb="FFC6EFCE"/>
        <color rgb="FFFFC7CE"/>
      </colorScale>
    </cfRule>
  </conditionalFormatting>
  <conditionalFormatting sqref="B60 F60">
    <cfRule type="colorScale" priority="91">
      <colorScale>
        <cfvo type="min"/>
        <cfvo type="max"/>
        <color rgb="FFC6EFCE"/>
        <color rgb="FFFFC7CE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>
  <sheetPr codeName="Sheet2">
    <outlinePr summaryBelow="1" summaryRight="1"/>
    <pageSetUpPr/>
  </sheetPr>
  <dimension ref="B2:DL24"/>
  <sheetViews>
    <sheetView showGridLines="0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"/>
    </sheetView>
  </sheetViews>
  <sheetFormatPr baseColWidth="8" defaultColWidth="8.875" defaultRowHeight="15.75"/>
  <cols>
    <col width="3.875" customWidth="1" style="43" min="1" max="1"/>
    <col width="8.625" customWidth="1" style="43" min="3" max="114"/>
  </cols>
  <sheetData>
    <row r="2" ht="31.5" customHeight="1" s="43">
      <c r="B2" s="33" t="n"/>
      <c r="C2" s="42" t="inlineStr">
        <is>
          <t>Goals Scored</t>
        </is>
      </c>
      <c r="E2" s="42" t="inlineStr">
        <is>
          <t>Goals Conceded</t>
        </is>
      </c>
      <c r="G2" s="42" t="inlineStr">
        <is>
          <t>Goal Difference</t>
        </is>
      </c>
      <c r="I2" s="42" t="inlineStr">
        <is>
          <t>Goal Difference Per Game</t>
        </is>
      </c>
      <c r="K2" s="42" t="inlineStr">
        <is>
          <t>Wins At Home</t>
        </is>
      </c>
      <c r="M2" s="42" t="inlineStr">
        <is>
          <t>Wins Away</t>
        </is>
      </c>
      <c r="O2" s="42" t="inlineStr">
        <is>
          <t>Draws At Home</t>
        </is>
      </c>
      <c r="Q2" s="42" t="inlineStr">
        <is>
          <t>Draws Away</t>
        </is>
      </c>
      <c r="S2" s="42" t="inlineStr">
        <is>
          <t>Losses At Home</t>
        </is>
      </c>
      <c r="U2" s="42" t="inlineStr">
        <is>
          <t>Losses Away</t>
        </is>
      </c>
      <c r="W2" s="42" t="inlineStr">
        <is>
          <t>Points At Home</t>
        </is>
      </c>
      <c r="Y2" s="42" t="inlineStr">
        <is>
          <t>Points Away From Home</t>
        </is>
      </c>
      <c r="AA2" s="42" t="inlineStr">
        <is>
          <t>Points Per Match Played At Home</t>
        </is>
      </c>
      <c r="AC2" s="42" t="inlineStr">
        <is>
          <t>Points Per Match Played Away</t>
        </is>
      </c>
      <c r="AE2" s="42" t="inlineStr">
        <is>
          <t>Points Per Match</t>
        </is>
      </c>
      <c r="AG2" s="42" t="inlineStr">
        <is>
          <t>Goals For At Home</t>
        </is>
      </c>
      <c r="AI2" s="42" t="inlineStr">
        <is>
          <t>Goals For Away</t>
        </is>
      </c>
      <c r="AK2" s="42" t="inlineStr">
        <is>
          <t>Goals Against At Home</t>
        </is>
      </c>
      <c r="AM2" s="42" t="inlineStr">
        <is>
          <t>Goals Against Away</t>
        </is>
      </c>
      <c r="AO2" s="42" t="inlineStr">
        <is>
          <t>Goal Difference At Home</t>
        </is>
      </c>
      <c r="AQ2" s="42" t="inlineStr">
        <is>
          <t>Goal Difference Away</t>
        </is>
      </c>
      <c r="AS2" s="42" t="inlineStr">
        <is>
          <t>Team Goals</t>
        </is>
      </c>
      <c r="AU2" s="42" t="inlineStr">
        <is>
          <t xml:space="preserve">Goals Per Game </t>
        </is>
      </c>
      <c r="AW2" s="42" t="inlineStr">
        <is>
          <t>Non Penalty Goals</t>
        </is>
      </c>
      <c r="AY2" s="42" t="inlineStr">
        <is>
          <t>Goals From Penalty Kicks</t>
        </is>
      </c>
      <c r="BA2" s="42" t="inlineStr">
        <is>
          <t>Assists Per Game</t>
        </is>
      </c>
      <c r="BC2" s="42" t="inlineStr">
        <is>
          <t>Team Assists</t>
        </is>
      </c>
      <c r="BE2" s="42" t="inlineStr">
        <is>
          <t>Yellow Cards</t>
        </is>
      </c>
      <c r="BG2" s="42" t="inlineStr">
        <is>
          <t>Yellow Cards Per Game</t>
        </is>
      </c>
      <c r="BI2" s="42" t="inlineStr">
        <is>
          <t>Red Cards Per Game</t>
        </is>
      </c>
      <c r="BK2" s="42" t="inlineStr">
        <is>
          <t>Shots On Target Against Per Game</t>
        </is>
      </c>
      <c r="BM2" s="42" t="inlineStr">
        <is>
          <t>Save Percentage</t>
        </is>
      </c>
      <c r="BO2" s="42" t="inlineStr">
        <is>
          <t>Clean Sheet Percentage</t>
        </is>
      </c>
      <c r="BQ2" s="42" t="inlineStr">
        <is>
          <t>Penalty Kick Save Percentage</t>
        </is>
      </c>
      <c r="BS2" s="42" t="inlineStr">
        <is>
          <t>Free Kick Goals Allowed</t>
        </is>
      </c>
      <c r="BU2" s="42" t="inlineStr">
        <is>
          <t>Goals From Corner Kicks Allowed</t>
        </is>
      </c>
      <c r="BW2" s="42" t="inlineStr">
        <is>
          <t>Percentage Of Crosses Stopped By Keeper</t>
        </is>
      </c>
      <c r="BY2" s="42" t="inlineStr">
        <is>
          <t>Goals Per Shot On Target</t>
        </is>
      </c>
      <c r="CA2" s="42" t="inlineStr">
        <is>
          <t>Goals Per Shot</t>
        </is>
      </c>
      <c r="CC2" s="42" t="inlineStr">
        <is>
          <t>Shots On Target Per Game</t>
        </is>
      </c>
      <c r="CE2" s="42" t="inlineStr">
        <is>
          <t>Percentage Of Shots That Are On Target</t>
        </is>
      </c>
      <c r="CG2" s="42" t="inlineStr">
        <is>
          <t>Corners Per Game</t>
        </is>
      </c>
      <c r="CI2" s="42" t="inlineStr">
        <is>
          <t>Tackles Won Per Game</t>
        </is>
      </c>
      <c r="CK2" s="42" t="inlineStr">
        <is>
          <t>Shots Blocked Per Game</t>
        </is>
      </c>
      <c r="CM2" s="42" t="inlineStr">
        <is>
          <t>Interceptions Per Game</t>
        </is>
      </c>
      <c r="CO2" s="42" t="inlineStr">
        <is>
          <t>Possession Percentage</t>
        </is>
      </c>
      <c r="CQ2" s="42" t="inlineStr">
        <is>
          <t>Touches In Defending Penalty Area Per Game</t>
        </is>
      </c>
      <c r="CS2" s="42" t="inlineStr">
        <is>
          <t>Touches In Defensive Third Per Game</t>
        </is>
      </c>
      <c r="CU2" s="42" t="inlineStr">
        <is>
          <t>Touches In Middle Third Per Game</t>
        </is>
      </c>
      <c r="CW2" s="42" t="inlineStr">
        <is>
          <t>Touches In Attacking Third Per Game</t>
        </is>
      </c>
      <c r="CY2" s="42" t="inlineStr">
        <is>
          <t>Touches In Attacking Penalty Area Per Game</t>
        </is>
      </c>
      <c r="DA2" s="42" t="inlineStr">
        <is>
          <t>Fouls Commited Per Game</t>
        </is>
      </c>
      <c r="DC2" s="42" t="inlineStr">
        <is>
          <t>Fouls Drawn Per Game</t>
        </is>
      </c>
      <c r="DE2" s="42" t="inlineStr">
        <is>
          <t>Aerial Duels Won Per Game</t>
        </is>
      </c>
      <c r="DG2" s="42" t="inlineStr">
        <is>
          <t>Penalty Kicks Won</t>
        </is>
      </c>
      <c r="DI2" s="42" t="inlineStr">
        <is>
          <t>Penalty Kicks Given Away</t>
        </is>
      </c>
      <c r="DK2" s="42" t="inlineStr">
        <is>
          <t>Average Player Age</t>
        </is>
      </c>
    </row>
    <row r="3">
      <c r="B3" s="28" t="n"/>
      <c r="C3" s="32" t="inlineStr">
        <is>
          <t>Stat</t>
        </is>
      </c>
      <c r="D3" s="42" t="inlineStr">
        <is>
          <t>Rank</t>
        </is>
      </c>
      <c r="E3" s="32" t="inlineStr">
        <is>
          <t>Stat</t>
        </is>
      </c>
      <c r="F3" s="42" t="inlineStr">
        <is>
          <t>Rank</t>
        </is>
      </c>
      <c r="G3" s="32" t="inlineStr">
        <is>
          <t>Stat</t>
        </is>
      </c>
      <c r="H3" s="42" t="inlineStr">
        <is>
          <t>Rank</t>
        </is>
      </c>
      <c r="I3" s="32" t="inlineStr">
        <is>
          <t>Stat</t>
        </is>
      </c>
      <c r="J3" s="42" t="inlineStr">
        <is>
          <t>Rank</t>
        </is>
      </c>
      <c r="K3" s="32" t="inlineStr">
        <is>
          <t>Stat</t>
        </is>
      </c>
      <c r="L3" s="42" t="inlineStr">
        <is>
          <t>Rank</t>
        </is>
      </c>
      <c r="M3" s="32" t="inlineStr">
        <is>
          <t>Stat</t>
        </is>
      </c>
      <c r="N3" s="42" t="inlineStr">
        <is>
          <t>Rank</t>
        </is>
      </c>
      <c r="O3" s="32" t="inlineStr">
        <is>
          <t>Stat</t>
        </is>
      </c>
      <c r="P3" s="42" t="inlineStr">
        <is>
          <t>Rank</t>
        </is>
      </c>
      <c r="Q3" s="32" t="inlineStr">
        <is>
          <t>Stat</t>
        </is>
      </c>
      <c r="R3" s="42" t="inlineStr">
        <is>
          <t>Rank</t>
        </is>
      </c>
      <c r="S3" s="32" t="inlineStr">
        <is>
          <t>Stat</t>
        </is>
      </c>
      <c r="T3" s="42" t="inlineStr">
        <is>
          <t>Rank</t>
        </is>
      </c>
      <c r="U3" s="32" t="inlineStr">
        <is>
          <t>Stat</t>
        </is>
      </c>
      <c r="V3" s="42" t="inlineStr">
        <is>
          <t>Rank</t>
        </is>
      </c>
      <c r="W3" s="32" t="inlineStr">
        <is>
          <t>Stat</t>
        </is>
      </c>
      <c r="X3" s="42" t="inlineStr">
        <is>
          <t>Rank</t>
        </is>
      </c>
      <c r="Y3" s="32" t="inlineStr">
        <is>
          <t>Stat</t>
        </is>
      </c>
      <c r="Z3" s="42" t="inlineStr">
        <is>
          <t>Rank</t>
        </is>
      </c>
      <c r="AA3" s="32" t="inlineStr">
        <is>
          <t>Stat</t>
        </is>
      </c>
      <c r="AB3" s="42" t="inlineStr">
        <is>
          <t>Rank</t>
        </is>
      </c>
      <c r="AC3" s="32" t="inlineStr">
        <is>
          <t>Stat</t>
        </is>
      </c>
      <c r="AD3" s="42" t="inlineStr">
        <is>
          <t>Rank</t>
        </is>
      </c>
      <c r="AE3" s="32" t="inlineStr">
        <is>
          <t>Stat</t>
        </is>
      </c>
      <c r="AF3" s="42" t="inlineStr">
        <is>
          <t>Rank</t>
        </is>
      </c>
      <c r="AG3" s="32" t="inlineStr">
        <is>
          <t>Stat</t>
        </is>
      </c>
      <c r="AH3" s="42" t="inlineStr">
        <is>
          <t>Rank</t>
        </is>
      </c>
      <c r="AI3" s="32" t="inlineStr">
        <is>
          <t>Stat</t>
        </is>
      </c>
      <c r="AJ3" s="42" t="inlineStr">
        <is>
          <t>Rank</t>
        </is>
      </c>
      <c r="AK3" s="32" t="inlineStr">
        <is>
          <t>Stat</t>
        </is>
      </c>
      <c r="AL3" s="42" t="inlineStr">
        <is>
          <t>Rank</t>
        </is>
      </c>
      <c r="AM3" s="32" t="inlineStr">
        <is>
          <t>Stat</t>
        </is>
      </c>
      <c r="AN3" s="42" t="inlineStr">
        <is>
          <t>Rank</t>
        </is>
      </c>
      <c r="AO3" s="32" t="inlineStr">
        <is>
          <t>Stat</t>
        </is>
      </c>
      <c r="AP3" s="42" t="inlineStr">
        <is>
          <t>Rank</t>
        </is>
      </c>
      <c r="AQ3" s="32" t="inlineStr">
        <is>
          <t>Stat</t>
        </is>
      </c>
      <c r="AR3" s="42" t="inlineStr">
        <is>
          <t>Rank</t>
        </is>
      </c>
      <c r="AS3" s="32" t="inlineStr">
        <is>
          <t>Stat</t>
        </is>
      </c>
      <c r="AT3" s="42" t="inlineStr">
        <is>
          <t>Rank</t>
        </is>
      </c>
      <c r="AU3" s="32" t="inlineStr">
        <is>
          <t>Stat</t>
        </is>
      </c>
      <c r="AV3" s="42" t="inlineStr">
        <is>
          <t>Rank</t>
        </is>
      </c>
      <c r="AW3" s="32" t="inlineStr">
        <is>
          <t>Stat</t>
        </is>
      </c>
      <c r="AX3" s="42" t="inlineStr">
        <is>
          <t>Rank</t>
        </is>
      </c>
      <c r="AY3" s="32" t="inlineStr">
        <is>
          <t>Stat</t>
        </is>
      </c>
      <c r="AZ3" s="42" t="inlineStr">
        <is>
          <t>Rank</t>
        </is>
      </c>
      <c r="BA3" s="32" t="inlineStr">
        <is>
          <t>Stat</t>
        </is>
      </c>
      <c r="BB3" s="42" t="inlineStr">
        <is>
          <t>Rank</t>
        </is>
      </c>
      <c r="BC3" s="32" t="inlineStr">
        <is>
          <t>Stat</t>
        </is>
      </c>
      <c r="BD3" s="42" t="inlineStr">
        <is>
          <t>Rank</t>
        </is>
      </c>
      <c r="BE3" s="32" t="inlineStr">
        <is>
          <t>Stat</t>
        </is>
      </c>
      <c r="BF3" s="42" t="inlineStr">
        <is>
          <t>Rank</t>
        </is>
      </c>
      <c r="BG3" s="32" t="inlineStr">
        <is>
          <t>Stat</t>
        </is>
      </c>
      <c r="BH3" s="42" t="inlineStr">
        <is>
          <t>Rank</t>
        </is>
      </c>
      <c r="BI3" s="32" t="inlineStr">
        <is>
          <t>Stat</t>
        </is>
      </c>
      <c r="BJ3" s="42" t="inlineStr">
        <is>
          <t>Rank</t>
        </is>
      </c>
      <c r="BK3" s="32" t="inlineStr">
        <is>
          <t>Stat</t>
        </is>
      </c>
      <c r="BL3" s="42" t="inlineStr">
        <is>
          <t>Rank</t>
        </is>
      </c>
      <c r="BM3" s="32" t="inlineStr">
        <is>
          <t>Stat</t>
        </is>
      </c>
      <c r="BN3" s="42" t="inlineStr">
        <is>
          <t>Rank</t>
        </is>
      </c>
      <c r="BO3" s="32" t="inlineStr">
        <is>
          <t>Stat</t>
        </is>
      </c>
      <c r="BP3" s="42" t="inlineStr">
        <is>
          <t>Rank</t>
        </is>
      </c>
      <c r="BQ3" s="32" t="inlineStr">
        <is>
          <t>Stat</t>
        </is>
      </c>
      <c r="BR3" s="42" t="inlineStr">
        <is>
          <t>Rank</t>
        </is>
      </c>
      <c r="BS3" s="32" t="inlineStr">
        <is>
          <t>Stat</t>
        </is>
      </c>
      <c r="BT3" s="42" t="inlineStr">
        <is>
          <t>Rank</t>
        </is>
      </c>
      <c r="BU3" s="32" t="inlineStr">
        <is>
          <t>Stat</t>
        </is>
      </c>
      <c r="BV3" s="42" t="inlineStr">
        <is>
          <t>Rank</t>
        </is>
      </c>
      <c r="BW3" s="32" t="inlineStr">
        <is>
          <t>Stat</t>
        </is>
      </c>
      <c r="BX3" s="42" t="inlineStr">
        <is>
          <t>Rank</t>
        </is>
      </c>
      <c r="BY3" s="32" t="inlineStr">
        <is>
          <t>Stat</t>
        </is>
      </c>
      <c r="BZ3" s="42" t="inlineStr">
        <is>
          <t>Rank</t>
        </is>
      </c>
      <c r="CA3" s="32" t="inlineStr">
        <is>
          <t>Stat</t>
        </is>
      </c>
      <c r="CB3" s="42" t="inlineStr">
        <is>
          <t>Rank</t>
        </is>
      </c>
      <c r="CC3" s="32" t="inlineStr">
        <is>
          <t>Stat</t>
        </is>
      </c>
      <c r="CD3" s="42" t="inlineStr">
        <is>
          <t>Rank</t>
        </is>
      </c>
      <c r="CE3" s="32" t="inlineStr">
        <is>
          <t>Stat</t>
        </is>
      </c>
      <c r="CF3" s="42" t="inlineStr">
        <is>
          <t>Rank</t>
        </is>
      </c>
      <c r="CG3" s="32" t="inlineStr">
        <is>
          <t>Stat</t>
        </is>
      </c>
      <c r="CH3" s="42" t="inlineStr">
        <is>
          <t>Rank</t>
        </is>
      </c>
      <c r="CI3" s="32" t="inlineStr">
        <is>
          <t>Stat</t>
        </is>
      </c>
      <c r="CJ3" s="42" t="inlineStr">
        <is>
          <t>Rank</t>
        </is>
      </c>
      <c r="CK3" s="32" t="inlineStr">
        <is>
          <t>Stat</t>
        </is>
      </c>
      <c r="CL3" s="42" t="inlineStr">
        <is>
          <t>Rank</t>
        </is>
      </c>
      <c r="CM3" s="32" t="inlineStr">
        <is>
          <t>Stat</t>
        </is>
      </c>
      <c r="CN3" s="42" t="inlineStr">
        <is>
          <t>Rank</t>
        </is>
      </c>
      <c r="CO3" s="32" t="inlineStr">
        <is>
          <t>Stat</t>
        </is>
      </c>
      <c r="CP3" s="42" t="inlineStr">
        <is>
          <t>Rank</t>
        </is>
      </c>
      <c r="CQ3" s="32" t="inlineStr">
        <is>
          <t>Stat</t>
        </is>
      </c>
      <c r="CR3" s="42" t="inlineStr">
        <is>
          <t>Rank</t>
        </is>
      </c>
      <c r="CS3" s="32" t="inlineStr">
        <is>
          <t>Stat</t>
        </is>
      </c>
      <c r="CT3" s="42" t="inlineStr">
        <is>
          <t>Rank</t>
        </is>
      </c>
      <c r="CU3" s="32" t="inlineStr">
        <is>
          <t>Stat</t>
        </is>
      </c>
      <c r="CV3" s="42" t="inlineStr">
        <is>
          <t>Rank</t>
        </is>
      </c>
      <c r="CW3" s="32" t="inlineStr">
        <is>
          <t>Stat</t>
        </is>
      </c>
      <c r="CX3" s="42" t="inlineStr">
        <is>
          <t>Rank</t>
        </is>
      </c>
      <c r="CY3" s="32" t="inlineStr">
        <is>
          <t>Stat</t>
        </is>
      </c>
      <c r="CZ3" s="42" t="inlineStr">
        <is>
          <t>Rank</t>
        </is>
      </c>
      <c r="DA3" s="32" t="inlineStr">
        <is>
          <t>Stat</t>
        </is>
      </c>
      <c r="DB3" s="42" t="inlineStr">
        <is>
          <t>Rank</t>
        </is>
      </c>
      <c r="DC3" s="32" t="inlineStr">
        <is>
          <t>Stat</t>
        </is>
      </c>
      <c r="DD3" s="42" t="inlineStr">
        <is>
          <t>Rank</t>
        </is>
      </c>
      <c r="DE3" s="32" t="inlineStr">
        <is>
          <t>Stat</t>
        </is>
      </c>
      <c r="DF3" s="42" t="inlineStr">
        <is>
          <t>Rank</t>
        </is>
      </c>
      <c r="DG3" s="32" t="inlineStr">
        <is>
          <t>Stat</t>
        </is>
      </c>
      <c r="DH3" s="42" t="inlineStr">
        <is>
          <t>Rank</t>
        </is>
      </c>
      <c r="DI3" s="32" t="inlineStr">
        <is>
          <t>Stat</t>
        </is>
      </c>
      <c r="DJ3" s="42" t="inlineStr">
        <is>
          <t>Rank</t>
        </is>
      </c>
      <c r="DK3" s="32" t="inlineStr">
        <is>
          <t>Stat</t>
        </is>
      </c>
      <c r="DL3" s="42" t="inlineStr">
        <is>
          <t>Rank</t>
        </is>
      </c>
    </row>
    <row r="4">
      <c r="B4" t="inlineStr">
        <is>
          <t>ARS</t>
        </is>
      </c>
      <c r="C4">
        <f>INDEX(Team_Summary!$A$1:$JF$21,MATCH(_xlfn.XLOOKUP($B4,Helpers!$C$4:$C$26,Helpers!$B$4:$B$26,"",0),Team_Summary!$A:$A,0),MATCH("Team_League Table_Overall_GF",Team_Summary!$1:$1,0))</f>
        <v/>
      </c>
      <c r="D4" s="30">
        <f>IF(COUNTIF(C$4:C$23,C4)&gt;1,"T"&amp;_xlfn.RANK.EQ(C4,C$4:C$23,0),_xlfn.RANK.EQ(C4,C$4:C$23,0))</f>
        <v/>
      </c>
      <c r="E4">
        <f>INDEX(Team_Summary!$A$1:$JF$21,MATCH(_xlfn.XLOOKUP($B4,Helpers!$C$4:$C$26,Helpers!$B$4:$B$26,"",0),Team_Summary!$A:$A,0),MATCH("Team_League Table_Overall_GA",Team_Summary!$1:$1,0))</f>
        <v/>
      </c>
      <c r="F4" s="30">
        <f>IF(COUNTIF(E$4:E$23,E4)&gt;1,"T"&amp;_xlfn.RANK.EQ(E4,E$4:E$23,1),_xlfn.RANK.EQ(E4,E$4:E$23,1))</f>
        <v/>
      </c>
      <c r="G4">
        <f>INDEX(Team_Summary!$A$1:$JF$21,MATCH(_xlfn.XLOOKUP($B4,Helpers!$C$4:$C$26,Helpers!$B$4:$B$26,"",0),Team_Summary!$A:$A,0),MATCH("Team_League Table_Overall_GD",Team_Summary!$1:$1,0))</f>
        <v/>
      </c>
      <c r="H4" s="30">
        <f>IF(COUNTIF(G$4:G$23,G4)&gt;1,"T"&amp;_xlfn.RANK.EQ(G4,G$4:G$23,0),_xlfn.RANK.EQ(G4,G$4:G$23,0))</f>
        <v/>
      </c>
      <c r="I4" s="27">
        <f>G4/INDEX(Team_Summary!$A$1:$JF$21,MATCH(_xlfn.XLOOKUP($B4,Helpers!$C$4:$C$26,Helpers!$B$4:$B$26,"",0),Team_Summary!$A:$A,0),MATCH("Team_League Table_Overall_MP",Team_Summary!$1:$1,0))</f>
        <v/>
      </c>
      <c r="J4" s="30">
        <f>IF(COUNTIF(I$4:I$23,I4)&gt;1,"T"&amp;_xlfn.RANK.EQ(I4,I$4:I$23,0),_xlfn.RANK.EQ(I4,I$4:I$23,0))</f>
        <v/>
      </c>
      <c r="K4">
        <f>INDEX(Team_Summary!$A$1:$JF$21,MATCH(_xlfn.XLOOKUP($B4,Helpers!$C$4:$C$26,Helpers!$B$4:$B$26,"",0),Team_Summary!$A:$A,0),MATCH("Team_League Table_Home_W",Team_Summary!$1:$1,0))</f>
        <v/>
      </c>
      <c r="L4" s="30">
        <f>IF(COUNTIF(K$4:K$23,K4)&gt;1,"T"&amp;_xlfn.RANK.EQ(K4,K$4:K$23,0),_xlfn.RANK.EQ(K4,K$4:K$23,0))</f>
        <v/>
      </c>
      <c r="M4">
        <f>INDEX(Team_Summary!$A$1:$JF$21,MATCH(_xlfn.XLOOKUP($B4,Helpers!$C$4:$C$26,Helpers!$B$4:$B$26,"",0),Team_Summary!$A:$A,0),MATCH("Team_League Table_Away_W",Team_Summary!$1:$1,0))</f>
        <v/>
      </c>
      <c r="N4" s="30">
        <f>IF(COUNTIF(M$4:M$23,M4)&gt;1,"T"&amp;_xlfn.RANK.EQ(M4,M$4:M$23,0),_xlfn.RANK.EQ(M4,M$4:M$23,0))</f>
        <v/>
      </c>
      <c r="O4">
        <f>INDEX(Team_Summary!$A$1:$JF$21,MATCH(_xlfn.XLOOKUP($B4,Helpers!$C$4:$C$26,Helpers!$B$4:$B$26,"",0),Team_Summary!$A:$A,0),MATCH("Team_League Table_Home_D",Team_Summary!$1:$1,0))</f>
        <v/>
      </c>
      <c r="P4" s="30">
        <f>IF(COUNTIF(O$4:O$23,O4)&gt;1,"T"&amp;_xlfn.RANK.EQ(O4,O$4:O$23,1),_xlfn.RANK.EQ(O4,O$4:O$23,1))</f>
        <v/>
      </c>
      <c r="Q4">
        <f>INDEX(Team_Summary!$A$1:$JF$21,MATCH(_xlfn.XLOOKUP($B4,Helpers!$C$4:$C$26,Helpers!$B$4:$B$26,"",0),Team_Summary!$A:$A,0),MATCH("Team_League Table_Away_D",Team_Summary!$1:$1,0))</f>
        <v/>
      </c>
      <c r="R4" s="30">
        <f>IF(COUNTIF(Q$4:Q$23,Q4)&gt;1,"T"&amp;_xlfn.RANK.EQ(Q4,Q$4:Q$23,1),_xlfn.RANK.EQ(Q4,Q$4:Q$23,1))</f>
        <v/>
      </c>
      <c r="S4">
        <f>INDEX(Team_Summary!$A$1:$JF$21,MATCH(_xlfn.XLOOKUP($B4,Helpers!$C$4:$C$26,Helpers!$B$4:$B$26,"",0),Team_Summary!$A:$A,0),MATCH("Team_League Table_Home_L",Team_Summary!$1:$1,0))</f>
        <v/>
      </c>
      <c r="T4" s="30">
        <f>IF(COUNTIF(S$4:S$23,S4)&gt;1,"T"&amp;_xlfn.RANK.EQ(S4,S$4:S$23,1),_xlfn.RANK.EQ(S4,S$4:S$23,1))</f>
        <v/>
      </c>
      <c r="U4">
        <f>INDEX(Team_Summary!$A$1:$JF$21,MATCH(_xlfn.XLOOKUP($B4,Helpers!$C$4:$C$26,Helpers!$B$4:$B$26,"",0),Team_Summary!$A:$A,0),MATCH("Team_League Table_Away_L",Team_Summary!$1:$1,0))</f>
        <v/>
      </c>
      <c r="V4" s="30">
        <f>IF(COUNTIF(U$4:U$23,U4)&gt;1,"T"&amp;_xlfn.RANK.EQ(U4,U$4:U$23,1),_xlfn.RANK.EQ(U4,U$4:U$23,1))</f>
        <v/>
      </c>
      <c r="W4">
        <f>INDEX(Team_Summary!$A$1:$JF$21,MATCH(_xlfn.XLOOKUP($B4,Helpers!$C$4:$C$26,Helpers!$B$4:$B$26,"",0),Team_Summary!$A:$A,0),MATCH("Team_League Table_Home_Pts",Team_Summary!$1:$1,0))</f>
        <v/>
      </c>
      <c r="X4" s="30">
        <f>IF(COUNTIF(W$4:W$23,W4)&gt;1,"T"&amp;_xlfn.RANK.EQ(W4,W$4:W$23,0),_xlfn.RANK.EQ(W4,W$4:W$23,0))</f>
        <v/>
      </c>
      <c r="Y4">
        <f>INDEX(Team_Summary!$A$1:$JF$21,MATCH(_xlfn.XLOOKUP($B4,Helpers!$C$4:$C$26,Helpers!$B$4:$B$26,"",0),Team_Summary!$A:$A,0),MATCH("Team_League Table_Away_Pts",Team_Summary!$1:$1,0))</f>
        <v/>
      </c>
      <c r="Z4" s="30">
        <f>IF(COUNTIF(Y$4:Y$23,Y4)&gt;1,"T"&amp;_xlfn.RANK.EQ(Y4,Y$4:Y$23,0),_xlfn.RANK.EQ(Y4,Y$4:Y$23,0))</f>
        <v/>
      </c>
      <c r="AA4">
        <f>INDEX(Team_Summary!$A$1:$JF$21,MATCH(_xlfn.XLOOKUP($B4,Helpers!$C$4:$C$26,Helpers!$B$4:$B$26,"",0),Team_Summary!$A:$A,0),MATCH("Team_League Table_Home_Pts/MP",Team_Summary!$1:$1,0))</f>
        <v/>
      </c>
      <c r="AB4" s="30">
        <f>IF(COUNTIF(AA$4:AA$23,AA4)&gt;1,"T"&amp;_xlfn.RANK.EQ(AA4,AA$4:AA$23,0),_xlfn.RANK.EQ(AA4,AA$4:AA$23,0))</f>
        <v/>
      </c>
      <c r="AC4">
        <f>INDEX(Team_Summary!$A$1:$JF$21,MATCH(_xlfn.XLOOKUP($B4,Helpers!$C$4:$C$26,Helpers!$B$4:$B$26,"",0),Team_Summary!$A:$A,0),MATCH("Team_League Table_Away_Pts/MP",Team_Summary!$1:$1,0))</f>
        <v/>
      </c>
      <c r="AD4" s="30">
        <f>IF(COUNTIF(AC$4:AC$23,AC4)&gt;1,"T"&amp;_xlfn.RANK.EQ(AC4,AC$4:AC$23,0),_xlfn.RANK.EQ(AC4,AC$4:AC$23,0))</f>
        <v/>
      </c>
      <c r="AE4">
        <f>INDEX(Team_Summary!$A$1:$JF$21,MATCH(_xlfn.XLOOKUP($B4,Helpers!$C$4:$C$26,Helpers!$B$4:$B$26,"",0),Team_Summary!$A:$A,0),MATCH("Team_League Table_Overall_Pts/MP",Team_Summary!$1:$1,0))</f>
        <v/>
      </c>
      <c r="AF4" s="30">
        <f>IF(COUNTIF(AE$4:AE$23,AE4)&gt;1,"T"&amp;_xlfn.RANK.EQ(AE4,AE$4:AE$23,0),_xlfn.RANK.EQ(AE4,AE$4:AE$23,0))</f>
        <v/>
      </c>
      <c r="AG4">
        <f>INDEX(Team_Summary!$A$1:$JF$21,MATCH(_xlfn.XLOOKUP($B4,Helpers!$C$4:$C$26,Helpers!$B$4:$B$26,"",0),Team_Summary!$A:$A,0),MATCH("Team_League Table_Home_GF",Team_Summary!$1:$1,0))</f>
        <v/>
      </c>
      <c r="AH4" s="30">
        <f>IF(COUNTIF(AG$4:AG$23,AG4)&gt;1,"T"&amp;_xlfn.RANK.EQ(AG4,AG$4:AG$23,0),_xlfn.RANK.EQ(AG4,AG$4:AG$23,0))</f>
        <v/>
      </c>
      <c r="AI4">
        <f>INDEX(Team_Summary!$A$1:$JF$21,MATCH(_xlfn.XLOOKUP($B4,Helpers!$C$4:$C$26,Helpers!$B$4:$B$26,"",0),Team_Summary!$A:$A,0),MATCH("Team_League Table_Away_GF",Team_Summary!$1:$1,0))</f>
        <v/>
      </c>
      <c r="AJ4" s="30">
        <f>IF(COUNTIF(AI$4:AI$23,AI4)&gt;1,"T"&amp;_xlfn.RANK.EQ(AI4,AI$4:AI$23,0),_xlfn.RANK.EQ(AI4,AI$4:AI$23,0))</f>
        <v/>
      </c>
      <c r="AK4">
        <f>INDEX(Team_Summary!$A$1:$JF$21,MATCH(_xlfn.XLOOKUP($B4,Helpers!$C$4:$C$26,Helpers!$B$4:$B$26,"",0),Team_Summary!$A:$A,0),MATCH("Team_League Table_Home_GA",Team_Summary!$1:$1,0))</f>
        <v/>
      </c>
      <c r="AL4" s="30">
        <f>IF(COUNTIF(AK$4:AK$23,AK4)&gt;1,"T"&amp;_xlfn.RANK.EQ(AK4,AK$4:AK$23,1),_xlfn.RANK.EQ(AK4,AK$4:AK$23,1))</f>
        <v/>
      </c>
      <c r="AM4">
        <f>INDEX(Team_Summary!$A$1:$JF$21,MATCH(_xlfn.XLOOKUP($B4,Helpers!$C$4:$C$26,Helpers!$B$4:$B$26,"",0),Team_Summary!$A:$A,0),MATCH("Team_League Table_Away_GA",Team_Summary!$1:$1,0))</f>
        <v/>
      </c>
      <c r="AN4" s="30">
        <f>IF(COUNTIF(AM$4:AM$23,AM4)&gt;1,"T"&amp;_xlfn.RANK.EQ(AM4,AM$4:AM$23,1),_xlfn.RANK.EQ(AM4,AM$4:AM$23,1))</f>
        <v/>
      </c>
      <c r="AO4">
        <f>INDEX(Team_Summary!$A$1:$JF$21,MATCH(_xlfn.XLOOKUP($B4,Helpers!$C$4:$C$26,Helpers!$B$4:$B$26,"",0),Team_Summary!$A:$A,0),MATCH("Team_League Table_Home_GD",Team_Summary!$1:$1,0))</f>
        <v/>
      </c>
      <c r="AP4" s="30">
        <f>IF(COUNTIF(AO$4:AO$23,AO4)&gt;1,"T"&amp;_xlfn.RANK.EQ(AO4,AO$4:AO$23,0),_xlfn.RANK.EQ(AO4,AO$4:AO$23,0))</f>
        <v/>
      </c>
      <c r="AQ4">
        <f>INDEX(Team_Summary!$A$1:$JF$21,MATCH(_xlfn.XLOOKUP($B4,Helpers!$C$4:$C$26,Helpers!$B$4:$B$26,"",0),Team_Summary!$A:$A,0),MATCH("Team_League Table_Away_GD",Team_Summary!$1:$1,0))</f>
        <v/>
      </c>
      <c r="AR4" s="30">
        <f>IF(COUNTIF(AQ$4:AQ$23,AQ4)&gt;1,"T"&amp;_xlfn.RANK.EQ(AQ4,AQ$4:AQ$23,0),_xlfn.RANK.EQ(AQ4,AQ$4:AQ$23,0))</f>
        <v/>
      </c>
      <c r="AS4">
        <f>INDEX(Team_Summary!$A$1:$JF$21,MATCH(_xlfn.XLOOKUP($B4,Helpers!$C$4:$C$26,Helpers!$B$4:$B$26,"",0),Team_Summary!$A:$A,0),MATCH("Team_Standard_Stats_Gls",Team_Summary!$1:$1,0))</f>
        <v/>
      </c>
      <c r="AT4" s="30">
        <f>IF(COUNTIF(AS$4:AS$23,AS4)&gt;1,"T"&amp;_xlfn.RANK.EQ(AS4,AS$4:AS$23,0),_xlfn.RANK.EQ(AS4,AS$4:AS$23,0))</f>
        <v/>
      </c>
      <c r="AU4" s="27">
        <f>C4/INDEX(Team_Summary!$A$1:$JF$21,MATCH(_xlfn.XLOOKUP($B4,Helpers!$C$4:$C$26,Helpers!$B$4:$B$26,"",0),Team_Summary!$A:$A,0),MATCH("Team_League Table_Overall_MP",Team_Summary!$1:$1,0))</f>
        <v/>
      </c>
      <c r="AV4" s="30">
        <f>IF(COUNTIF(AU$4:AU$23,AU4)&gt;1,"T"&amp;_xlfn.RANK.EQ(AU4,AU$4:AU$23,0),_xlfn.RANK.EQ(AU4,AU$4:AU$23,0))</f>
        <v/>
      </c>
      <c r="AW4">
        <f>INDEX(Team_Summary!$A$1:$JF$21,MATCH(_xlfn.XLOOKUP($B4,Helpers!$C$4:$C$26,Helpers!$B$4:$B$26,"",0),Team_Summary!$A:$A,0),MATCH("Team_Standard_Stats_G-PK",Team_Summary!$1:$1,0))</f>
        <v/>
      </c>
      <c r="AX4" s="30">
        <f>IF(COUNTIF(AW$4:AW$23,AW4)&gt;1,"T"&amp;_xlfn.RANK.EQ(AW4,AW$4:AW$23,0),_xlfn.RANK.EQ(AW4,AW$4:AW$23,0))</f>
        <v/>
      </c>
      <c r="AY4">
        <f>INDEX(Team_Summary!$A$1:$JF$21,MATCH(_xlfn.XLOOKUP($B4,Helpers!$C$4:$C$26,Helpers!$B$4:$B$26,"",0),Team_Summary!$A:$A,0),MATCH("Team_Standard_Stats_PK",Team_Summary!$1:$1,0))</f>
        <v/>
      </c>
      <c r="AZ4" s="30">
        <f>IF(COUNTIF(AY$4:AY$23,AY4)&gt;1,"T"&amp;_xlfn.RANK.EQ(AY4,AY$4:AY$23,0),_xlfn.RANK.EQ(AY4,AY$4:AY$23,0))</f>
        <v/>
      </c>
      <c r="BA4">
        <f>INDEX(Team_Summary!$A$1:$JF$21,MATCH(_xlfn.XLOOKUP($B4,Helpers!$C$4:$C$26,Helpers!$B$4:$B$26,"",0),Team_Summary!$A:$A,0),MATCH("Team_Standard_Stats_Ast.1",Team_Summary!$1:$1,0))</f>
        <v/>
      </c>
      <c r="BB4" s="30">
        <f>IF(COUNTIF(BA$4:BA$23,BA4)&gt;1,"T"&amp;_xlfn.RANK.EQ(BA4,BA$4:BA$23,0),_xlfn.RANK.EQ(BA4,BA$4:BA$23,0))</f>
        <v/>
      </c>
      <c r="BC4">
        <f>INDEX(Team_Summary!$A$1:$JF$21,MATCH(_xlfn.XLOOKUP($B4,Helpers!$C$4:$C$26,Helpers!$B$4:$B$26,"",0),Team_Summary!$A:$A,0),MATCH("Team_Standard_Stats_Ast",Team_Summary!$1:$1,0))</f>
        <v/>
      </c>
      <c r="BD4" s="30">
        <f>IF(COUNTIF(BC$4:BC$23,BC4)&gt;1,"T"&amp;_xlfn.RANK.EQ(BC4,BC$4:BC$23,0),_xlfn.RANK.EQ(BC4,BC$4:BC$23,0))</f>
        <v/>
      </c>
      <c r="BE4">
        <f>INDEX(Team_Summary!$A$1:$JF$21,MATCH(_xlfn.XLOOKUP($B4,Helpers!$C$4:$C$26,Helpers!$B$4:$B$26,"",0),Team_Summary!$A:$A,0),MATCH("Team_Miscellaneous_Stats_CrdY",Team_Summary!$1:$1,0))</f>
        <v/>
      </c>
      <c r="BF4" s="30">
        <f>IF(COUNTIF(BE$4:BE$23,BE4)&gt;1,"T"&amp;_xlfn.RANK.EQ(BE4,BE$4:BE$23,1),_xlfn.RANK.EQ(BE4,BE$4:BE$23,1))</f>
        <v/>
      </c>
      <c r="BG4" s="35">
        <f>BE4/INDEX(Team_Summary!$A$1:$JF$21,MATCH(_xlfn.XLOOKUP($B4,Helpers!$C$4:$C$26,Helpers!$B$4:$B$26,"",0),Team_Summary!$A:$A,0),MATCH("Team_League Table_Overall_MP",Team_Summary!$1:$1,0))</f>
        <v/>
      </c>
      <c r="BH4" s="30">
        <f>IF(COUNTIF(BG$4:BG$23,BG4)&gt;1,"T"&amp;_xlfn.RANK.EQ(BG4,BG$4:BG$23,1),_xlfn.RANK.EQ(BG4,BG$4:BG$23,1))</f>
        <v/>
      </c>
      <c r="BI4">
        <f>INDEX(Team_Summary!$A$1:$JF$21,MATCH(_xlfn.XLOOKUP($B4,Helpers!$C$4:$C$26,Helpers!$B$4:$B$26,"",0),Team_Summary!$A:$A,0),MATCH("Team_Miscellaneous_Stats_CrdR",Team_Summary!$1:$1,0))/INDEX(Team_Summary!$A$1:$JF$21,MATCH(_xlfn.XLOOKUP($B4,Helpers!$C$4:$C$26,Helpers!$B$4:$B$26,"",0),Team_Summary!$A:$A,0),MATCH("Team_League Table_Overall_MP",Team_Summary!$1:$1,0))</f>
        <v/>
      </c>
      <c r="BJ4" s="30">
        <f>IF(COUNTIF(BI$4:BI$23,BI4)&gt;1,"T"&amp;_xlfn.RANK.EQ(BI4,BI$4:BI$23,1),_xlfn.RANK.EQ(BI4,BI$4:BI$23,1))</f>
        <v/>
      </c>
      <c r="BK4">
        <f>INDEX(Team_Summary!$A$1:$JF$21,MATCH(_xlfn.XLOOKUP($B4,Helpers!$C$4:$C$26,Helpers!$B$4:$B$26,"",0),Team_Summary!$A:$A,0),MATCH("Team_Goalkeeping_SoTA",Team_Summary!$1:$1,0))/INDEX(Team_Summary!$A$1:$JF$21,MATCH(_xlfn.XLOOKUP($B4,Helpers!$C$4:$C$26,Helpers!$B$4:$B$26,"",0),Team_Summary!$A:$A,0),MATCH("Team_League Table_Overall_MP",Team_Summary!$1:$1,0))</f>
        <v/>
      </c>
      <c r="BL4" s="30">
        <f>IF(COUNTIF(BK$4:BK$23,BK4)&gt;1,"T"&amp;_xlfn.RANK.EQ(BK4,BK$4:BK$23,1),_xlfn.RANK.EQ(BK4,BK$4:BK$23,1))</f>
        <v/>
      </c>
      <c r="BM4">
        <f>INDEX(Team_Summary!$A$1:$JF$21,MATCH(_xlfn.XLOOKUP($B4,Helpers!$C$4:$C$26,Helpers!$B$4:$B$26,"",0),Team_Summary!$A:$A,0),MATCH("Team_Goalkeeping_Save%",Team_Summary!$1:$1,0))</f>
        <v/>
      </c>
      <c r="BN4" s="30">
        <f>IF(COUNTIF(BM$4:BM$23,BM4)&gt;1,"T"&amp;_xlfn.RANK.EQ(BM4,BM$4:BM$23,0),_xlfn.RANK.EQ(BM4,BM$4:BM$23,0))</f>
        <v/>
      </c>
      <c r="BO4">
        <f>INDEX(Team_Summary!$A$1:$JF$21,MATCH(_xlfn.XLOOKUP($B4,Helpers!$C$4:$C$26,Helpers!$B$4:$B$26,"",0),Team_Summary!$A:$A,0),MATCH("Team_Goalkeeping_CS%",Team_Summary!$1:$1,0))</f>
        <v/>
      </c>
      <c r="BP4" s="30">
        <f>IF(COUNTIF(BO$4:BO$23,BO4)&gt;1,"T"&amp;_xlfn.RANK.EQ(BO4,BO$4:BO$23,0),_xlfn.RANK.EQ(BO4,BO$4:BO$23,0))</f>
        <v/>
      </c>
      <c r="BQ4">
        <f>INDEX(Team_Summary!$A$1:$JF$21,MATCH(_xlfn.XLOOKUP($B4,Helpers!$C$4:$C$26,Helpers!$B$4:$B$26,"",0),Team_Summary!$A:$A,0),MATCH("Team_Goalkeeping_Save%.1",Team_Summary!$1:$1,0))</f>
        <v/>
      </c>
      <c r="BR4" s="30">
        <f>IF(COUNTIF(BQ$4:BQ$23,BQ4)&gt;1,"T"&amp;_xlfn.RANK.EQ(BQ4,BQ$4:BQ$23,0),_xlfn.RANK.EQ(BQ4,BQ$4:BQ$23,0))</f>
        <v/>
      </c>
      <c r="BS4">
        <f>INDEX(Team_Summary!$A$1:$JF$21,MATCH(_xlfn.XLOOKUP($B4,Helpers!$C$4:$C$26,Helpers!$B$4:$B$26,"",0),Team_Summary!$A:$A,0),MATCH("Team_Advanced_Goalkeeping_FK",Team_Summary!$1:$1,0))</f>
        <v/>
      </c>
      <c r="BT4" s="30">
        <f>IF(COUNTIF(BS$4:BS$23,BS4)&gt;1,"T"&amp;_xlfn.RANK.EQ(BS4,BS$4:BS$23,1),_xlfn.RANK.EQ(BS4,BS$4:BS$23,1))</f>
        <v/>
      </c>
      <c r="BU4">
        <f>INDEX(Team_Summary!$A$1:$JF$21,MATCH(_xlfn.XLOOKUP($B4,Helpers!$C$4:$C$26,Helpers!$B$4:$B$26,"",0),Team_Summary!$A:$A,0),MATCH("Team_Advanced_Goalkeeping_CK",Team_Summary!$1:$1,0))</f>
        <v/>
      </c>
      <c r="BV4" s="30">
        <f>IF(COUNTIF(BU$4:BU$23,BU4)&gt;1,"T"&amp;_xlfn.RANK.EQ(BU4,BU$4:BU$23,1),_xlfn.RANK.EQ(BU4,BU$4:BU$23,1))</f>
        <v/>
      </c>
      <c r="BW4">
        <f>INDEX(Team_Summary!$A$1:$JF$21,MATCH(_xlfn.XLOOKUP($B4,Helpers!$C$4:$C$26,Helpers!$B$4:$B$26,"",0),Team_Summary!$A:$A,0),MATCH("Team_Advanced_Goalkeeping_Stp%",Team_Summary!$1:$1,0))</f>
        <v/>
      </c>
      <c r="BX4" s="30">
        <f>IF(COUNTIF(BW$4:BW$23,BW4)&gt;1,"T"&amp;_xlfn.RANK.EQ(BW4,BW$4:BW$23,0),_xlfn.RANK.EQ(BW4,BW$4:BW$23,0))</f>
        <v/>
      </c>
      <c r="BY4">
        <f>INDEX(Team_Summary!$A$1:$JF$21,MATCH(_xlfn.XLOOKUP($B4,Helpers!$C$4:$C$26,Helpers!$B$4:$B$26,"",0),Team_Summary!$A:$A,0),MATCH("Team_Shooting_G/SoT",Team_Summary!$1:$1,0))</f>
        <v/>
      </c>
      <c r="BZ4" s="30">
        <f>IF(COUNTIF(BY$4:BY$23,BY4)&gt;1,"T"&amp;_xlfn.RANK.EQ(BY4,BY$4:BY$23,0),_xlfn.RANK.EQ(BY4,BY$4:BY$23,0))</f>
        <v/>
      </c>
      <c r="CA4">
        <f>INDEX(Team_Summary!$A$1:$JF$21,MATCH(_xlfn.XLOOKUP($B4,Helpers!$C$4:$C$26,Helpers!$B$4:$B$26,"",0),Team_Summary!$A:$A,0),MATCH("Team_Shooting_G/Sh",Team_Summary!$1:$1,0))</f>
        <v/>
      </c>
      <c r="CB4" s="30">
        <f>IF(COUNTIF(CA$4:CA$23,CA4)&gt;1,"T"&amp;_xlfn.RANK.EQ(CA4,CA$4:CA$23,0),_xlfn.RANK.EQ(CA4,CA$4:CA$23,0))</f>
        <v/>
      </c>
      <c r="CC4">
        <f>INDEX(Team_Summary!$A$1:$JF$21,MATCH(_xlfn.XLOOKUP($B4,Helpers!$C$4:$C$26,Helpers!$B$4:$B$26,"",0),Team_Summary!$A:$A,0),MATCH("Team_Shooting_SoT",Team_Summary!$1:$1,0))/INDEX(Team_Summary!$A$1:$JF$21,MATCH(_xlfn.XLOOKUP($B4,Helpers!$C$4:$C$26,Helpers!$B$4:$B$26,"",0),Team_Summary!$A:$A,0),MATCH("Team_League Table_Overall_MP",Team_Summary!$1:$1,0))</f>
        <v/>
      </c>
      <c r="CD4" s="30">
        <f>IF(COUNTIF(CC$4:CC$23,CC4)&gt;1,"T"&amp;_xlfn.RANK.EQ(CC4,CC$4:CC$23,0),_xlfn.RANK.EQ(CC4,CC$4:CC$23,0))</f>
        <v/>
      </c>
      <c r="CE4">
        <f>INDEX(Team_Summary!$A$1:$JF$21,MATCH(_xlfn.XLOOKUP($B4,Helpers!$C$4:$C$26,Helpers!$B$4:$B$26,"",0),Team_Summary!$A:$A,0),MATCH("Team_Shooting_SoT%",Team_Summary!$1:$1,0))</f>
        <v/>
      </c>
      <c r="CF4" s="30">
        <f>IF(COUNTIF(CE$4:CE$23,CE4)&gt;1,"T"&amp;_xlfn.RANK.EQ(CE4,CE$4:CE$23,0),_xlfn.RANK.EQ(CE4,CE$4:CE$23,0))</f>
        <v/>
      </c>
      <c r="CG4">
        <f>INDEX(Team_Summary!$A$1:$JF$21,MATCH(_xlfn.XLOOKUP($B4,Helpers!$C$4:$C$26,Helpers!$B$4:$B$26,"",0),Team_Summary!$A:$A,0),MATCH("Team_Pass_Types_CK",Team_Summary!$1:$1,0))/INDEX(Team_Summary!$A$1:$JF$21,MATCH(_xlfn.XLOOKUP($B4,Helpers!$C$4:$C$26,Helpers!$B$4:$B$26,"",0),Team_Summary!$A:$A,0),MATCH("Team_League Table_Overall_MP",Team_Summary!$1:$1,0))</f>
        <v/>
      </c>
      <c r="CH4" s="30">
        <f>IF(COUNTIF(CG$4:CG$23,CG4)&gt;1,"T"&amp;_xlfn.RANK.EQ(CG4,CG$4:CG$23,0),_xlfn.RANK.EQ(CG4,CG$4:CG$23,0))</f>
        <v/>
      </c>
      <c r="CI4">
        <f>INDEX(Team_Summary!$A$1:$JF$21,MATCH(_xlfn.XLOOKUP($B4,Helpers!$C$4:$C$26,Helpers!$B$4:$B$26,"",0),Team_Summary!$A:$A,0),MATCH("Team_Miscellaneous_Stats_TklW",Team_Summary!$1:$1,0))/INDEX(Team_Summary!$A$1:$JF$21,MATCH(_xlfn.XLOOKUP($B4,Helpers!$C$4:$C$26,Helpers!$B$4:$B$26,"",0),Team_Summary!$A:$A,0),MATCH("Team_League Table_Overall_MP",Team_Summary!$1:$1,0))</f>
        <v/>
      </c>
      <c r="CJ4" s="30">
        <f>IF(COUNTIF(CI$4:CI$23,CI4)&gt;1,"T"&amp;_xlfn.RANK.EQ(CI4,CI$4:CI$23,0),_xlfn.RANK.EQ(CI4,CI$4:CI$23,0))</f>
        <v/>
      </c>
      <c r="CK4">
        <f>INDEX(Team_Summary!$A$1:$JF$21,MATCH(_xlfn.XLOOKUP($B4,Helpers!$C$4:$C$26,Helpers!$B$4:$B$26,"",0),Team_Summary!$A:$A,0),MATCH("Team_Defensive_Actions_Sh",Team_Summary!$1:$1,0))/INDEX(Team_Summary!$A$1:$JF$21,MATCH(_xlfn.XLOOKUP($B4,Helpers!$C$4:$C$26,Helpers!$B$4:$B$26,"",0),Team_Summary!$A:$A,0),MATCH("Team_League Table_Overall_MP",Team_Summary!$1:$1,0))</f>
        <v/>
      </c>
      <c r="CL4" s="30">
        <f>IF(COUNTIF(CK$4:CK$23,CK4)&gt;1,"T"&amp;_xlfn.RANK.EQ(CK4,CK$4:CK$23,0),_xlfn.RANK.EQ(CK4,CK$4:CK$23,0))</f>
        <v/>
      </c>
      <c r="CM4">
        <f>INDEX(Team_Summary!$A$1:$JF$21,MATCH(_xlfn.XLOOKUP($B4,Helpers!$C$4:$C$26,Helpers!$B$4:$B$26,"",0),Team_Summary!$A:$A,0),MATCH("Team_Defensive_Actions_Int",Team_Summary!$1:$1,0))/INDEX(Team_Summary!$A$1:$JF$21,MATCH(_xlfn.XLOOKUP($B4,Helpers!$C$4:$C$26,Helpers!$B$4:$B$26,"",0),Team_Summary!$A:$A,0),MATCH("Team_League Table_Overall_MP",Team_Summary!$1:$1,0))</f>
        <v/>
      </c>
      <c r="CN4" s="30">
        <f>IF(COUNTIF(CM$4:CM$23,CM4)&gt;1,"T"&amp;_xlfn.RANK.EQ(CM4,CM$4:CM$23,0),_xlfn.RANK.EQ(CM4,CM$4:CM$23,0))</f>
        <v/>
      </c>
      <c r="CO4">
        <f>INDEX(Team_Summary!$A$1:$JF$21,MATCH(_xlfn.XLOOKUP($B4,Helpers!$C$4:$C$26,Helpers!$B$4:$B$26,"",0),Team_Summary!$A:$A,0),MATCH("Team_Possession_Poss",Team_Summary!$1:$1,0))</f>
        <v/>
      </c>
      <c r="CP4" s="30">
        <f>IF(COUNTIF(CO$4:CO$23,CO4)&gt;1,"T"&amp;_xlfn.RANK.EQ(CO4,CO$4:CO$23,0),_xlfn.RANK.EQ(CO4,CO$4:CO$23,0))</f>
        <v/>
      </c>
      <c r="CQ4">
        <f>INDEX(Team_Summary!$A$1:$JF$21,MATCH(_xlfn.XLOOKUP($B4,Helpers!$C$4:$C$26,Helpers!$B$4:$B$26,"",0),Team_Summary!$A:$A,0),MATCH("Team_Possession_Def Pen",Team_Summary!$1:$1,0))/INDEX(Team_Summary!$A$1:$JF$21,MATCH(_xlfn.XLOOKUP($B4,Helpers!$C$4:$C$26,Helpers!$B$4:$B$26,"",0),Team_Summary!$A:$A,0),MATCH("Team_League Table_Overall_MP",Team_Summary!$1:$1,0))</f>
        <v/>
      </c>
      <c r="CR4" s="30">
        <f>IF(COUNTIF(CQ$4:CQ$23,CQ4)&gt;1,"T"&amp;_xlfn.RANK.EQ(CQ4,CQ$4:CQ$23,0),_xlfn.RANK.EQ(CQ4,CQ$4:CQ$23,0))</f>
        <v/>
      </c>
      <c r="CS4">
        <f>INDEX(Team_Summary!$A$1:$JF$21,MATCH(_xlfn.XLOOKUP($B4,Helpers!$C$4:$C$26,Helpers!$B$4:$B$26,"",0),Team_Summary!$A:$A,0),MATCH("Team_Possession_Def 3rd",Team_Summary!$1:$1,0))/INDEX(Team_Summary!$A$1:$JF$21,MATCH(_xlfn.XLOOKUP($B4,Helpers!$C$4:$C$26,Helpers!$B$4:$B$26,"",0),Team_Summary!$A:$A,0),MATCH("Team_League Table_Overall_MP",Team_Summary!$1:$1,0))</f>
        <v/>
      </c>
      <c r="CT4" s="30">
        <f>IF(COUNTIF(CS$4:CS$23,CS4)&gt;1,"T"&amp;_xlfn.RANK.EQ(CS4,CS$4:CS$23,0),_xlfn.RANK.EQ(CS4,CS$4:CS$23,0))</f>
        <v/>
      </c>
      <c r="CU4">
        <f>INDEX(Team_Summary!$A$1:$JF$21,MATCH(_xlfn.XLOOKUP($B4,Helpers!$C$4:$C$26,Helpers!$B$4:$B$26,"",0),Team_Summary!$A:$A,0),MATCH("Team_Possession_Mid 3rd",Team_Summary!$1:$1,0))/INDEX(Team_Summary!$A$1:$JF$21,MATCH(_xlfn.XLOOKUP($B4,Helpers!$C$4:$C$26,Helpers!$B$4:$B$26,"",0),Team_Summary!$A:$A,0),MATCH("Team_League Table_Overall_MP",Team_Summary!$1:$1,0))</f>
        <v/>
      </c>
      <c r="CV4" s="30">
        <f>IF(COUNTIF(CU$4:CU$23,CU4)&gt;1,"T"&amp;_xlfn.RANK.EQ(CU4,CU$4:CU$23,0),_xlfn.RANK.EQ(CU4,CU$4:CU$23,0))</f>
        <v/>
      </c>
      <c r="CW4">
        <f>INDEX(Team_Summary!$A$1:$JF$21,MATCH(_xlfn.XLOOKUP($B4,Helpers!$C$4:$C$26,Helpers!$B$4:$B$26,"",0),Team_Summary!$A:$A,0),MATCH("Team_Possession_Att 3rd",Team_Summary!$1:$1,0))/INDEX(Team_Summary!$A$1:$JF$21,MATCH(_xlfn.XLOOKUP($B4,Helpers!$C$4:$C$26,Helpers!$B$4:$B$26,"",0),Team_Summary!$A:$A,0),MATCH("Team_League Table_Overall_MP",Team_Summary!$1:$1,0))</f>
        <v/>
      </c>
      <c r="CX4" s="30">
        <f>IF(COUNTIF(CW$4:CW$23,CW4)&gt;1,"T"&amp;_xlfn.RANK.EQ(CW4,CW$4:CW$23,0),_xlfn.RANK.EQ(CW4,CW$4:CW$23,0))</f>
        <v/>
      </c>
      <c r="CY4">
        <f>INDEX(Team_Summary!$A$1:$JF$21,MATCH(_xlfn.XLOOKUP($B4,Helpers!$C$4:$C$26,Helpers!$B$4:$B$26,"",0),Team_Summary!$A:$A,0),MATCH("Team_Possession_Att Pen",Team_Summary!$1:$1,0))/INDEX(Team_Summary!$A$1:$JF$21,MATCH(_xlfn.XLOOKUP($B4,Helpers!$C$4:$C$26,Helpers!$B$4:$B$26,"",0),Team_Summary!$A:$A,0),MATCH("Team_League Table_Overall_MP",Team_Summary!$1:$1,0))</f>
        <v/>
      </c>
      <c r="CZ4" s="30">
        <f>IF(COUNTIF(CY$4:CY$23,CY4)&gt;1,"T"&amp;_xlfn.RANK.EQ(CY4,CY$4:CY$23,0),_xlfn.RANK.EQ(CY4,CY$4:CY$23,0))</f>
        <v/>
      </c>
      <c r="DA4">
        <f>INDEX(Team_Summary!$A$1:$JF$21,MATCH(_xlfn.XLOOKUP($B4,Helpers!$C$4:$C$26,Helpers!$B$4:$B$26,"",0),Team_Summary!$A:$A,0),MATCH("Team_Miscellaneous_Stats_Fls",Team_Summary!$1:$1,0))/INDEX(Team_Summary!$A$1:$JF$21,MATCH(_xlfn.XLOOKUP($B4,Helpers!$C$4:$C$26,Helpers!$B$4:$B$26,"",0),Team_Summary!$A:$A,0),MATCH("Team_League Table_Overall_MP",Team_Summary!$1:$1,0))</f>
        <v/>
      </c>
      <c r="DB4" s="30">
        <f>IF(COUNTIF(DA$4:DA$23,DA4)&gt;1,"T"&amp;_xlfn.RANK.EQ(DA4,DA$4:DA$23,1),_xlfn.RANK.EQ(DA4,DA$4:DA$23,1))</f>
        <v/>
      </c>
      <c r="DC4">
        <f>INDEX(Team_Summary!$A$1:$JF$21,MATCH(_xlfn.XLOOKUP($B4,Helpers!$C$4:$C$26,Helpers!$B$4:$B$26,"",0),Team_Summary!$A:$A,0),MATCH("Team_Miscellaneous_Stats_Fld",Team_Summary!$1:$1,0))/INDEX(Team_Summary!$A$1:$JF$21,MATCH(_xlfn.XLOOKUP($B4,Helpers!$C$4:$C$26,Helpers!$B$4:$B$26,"",0),Team_Summary!$A:$A,0),MATCH("Team_League Table_Overall_MP",Team_Summary!$1:$1,0))</f>
        <v/>
      </c>
      <c r="DD4" s="30">
        <f>IF(COUNTIF(DC$4:DC$23,DC4)&gt;1,"T"&amp;_xlfn.RANK.EQ(DC4,DC$4:DC$23,0),_xlfn.RANK.EQ(DC4,DC$4:DC$23,0))</f>
        <v/>
      </c>
      <c r="DE4">
        <f>INDEX(Team_Summary!$A$1:$JF$21,MATCH(_xlfn.XLOOKUP($B4,Helpers!$C$4:$C$26,Helpers!$B$4:$B$26,"",0),Team_Summary!$A:$A,0),MATCH("Team_Miscellaneous_Stats_Won",Team_Summary!$1:$1,0))/INDEX(Team_Summary!$A$1:$JF$21,MATCH(_xlfn.XLOOKUP($B4,Helpers!$C$4:$C$26,Helpers!$B$4:$B$26,"",0),Team_Summary!$A:$A,0),MATCH("Team_League Table_Overall_MP",Team_Summary!$1:$1,0))</f>
        <v/>
      </c>
      <c r="DF4" s="30">
        <f>IF(COUNTIF(DE$4:DE$23,DE4)&gt;1,"T"&amp;_xlfn.RANK.EQ(DE4,DE$4:DE$23,0),_xlfn.RANK.EQ(DE4,DE$4:DE$23,0))</f>
        <v/>
      </c>
      <c r="DG4">
        <f>INDEX(Team_Summary!$A$1:$JF$21,MATCH(_xlfn.XLOOKUP($B4,Helpers!$C$4:$C$26,Helpers!$B$4:$B$26,"",0),Team_Summary!$A:$A,0),MATCH("Team_Miscellaneous_Stats_Pkwon",Team_Summary!$1:$1,0))</f>
        <v/>
      </c>
      <c r="DH4" s="30">
        <f>IF(COUNTIF(DG$4:DG$23,DG4)&gt;1,"T"&amp;_xlfn.RANK.EQ(DG4,DG$4:DG$23,0),_xlfn.RANK.EQ(DG4,DG$4:DG$23,0))</f>
        <v/>
      </c>
      <c r="DI4">
        <f>INDEX(Team_Summary!$A$1:$JF$21,MATCH(_xlfn.XLOOKUP($B4,Helpers!$C$4:$C$26,Helpers!$B$4:$B$26,"",0),Team_Summary!$A:$A,0),MATCH("Team_Miscellaneous_Stats_Pkcon",Team_Summary!$1:$1,0))</f>
        <v/>
      </c>
      <c r="DJ4" s="30">
        <f>IF(COUNTIF(DI$4:DI$23,DI4)&gt;1,"T"&amp;_xlfn.RANK.EQ(DI4,DI$4:DI$23,1),_xlfn.RANK.EQ(DI4,DI$4:DI$23,1))</f>
        <v/>
      </c>
      <c r="DK4">
        <f>INDEX(Team_Summary!$A$1:$JF$21,MATCH(_xlfn.XLOOKUP($B4,Helpers!$C$4:$C$26,Helpers!$B$4:$B$26,"",0),Team_Summary!$A:$A,0),MATCH("Team_Playing_Time_Age",Team_Summary!$1:$1,0))</f>
        <v/>
      </c>
      <c r="DL4" s="30">
        <f>IF(COUNTIF(DK$4:DK$23,DK4)&gt;1,"T"&amp;_xlfn.RANK.EQ(DK4,DK$4:DK$23,1),_xlfn.RANK.EQ(DK4,DK$4:DK$23,1))</f>
        <v/>
      </c>
    </row>
    <row r="5">
      <c r="B5" t="inlineStr">
        <is>
          <t>AVL</t>
        </is>
      </c>
      <c r="C5">
        <f>INDEX(Team_Summary!$A$1:$JF$21,MATCH(_xlfn.XLOOKUP($B5,Helpers!$C$4:$C$26,Helpers!$B$4:$B$26,"",0),Team_Summary!$A:$A,0),MATCH("Team_League Table_Overall_GF",Team_Summary!$1:$1,0))</f>
        <v/>
      </c>
      <c r="D5" s="30">
        <f>IF(COUNTIF(C$4:C$23,C5)&gt;1,"T"&amp;_xlfn.RANK.EQ(C5,C$4:C$23,0),_xlfn.RANK.EQ(C5,C$4:C$23,0))</f>
        <v/>
      </c>
      <c r="E5">
        <f>INDEX(Team_Summary!$A$1:$JF$21,MATCH(_xlfn.XLOOKUP($B5,Helpers!$C$4:$C$26,Helpers!$B$4:$B$26,"",0),Team_Summary!$A:$A,0),MATCH("Team_League Table_Overall_GA",Team_Summary!$1:$1,0))</f>
        <v/>
      </c>
      <c r="F5" s="30">
        <f>IF(COUNTIF(E$4:E$23,E5)&gt;1,"T"&amp;_xlfn.RANK.EQ(E5,E$4:E$23,1),_xlfn.RANK.EQ(E5,E$4:E$23,1))</f>
        <v/>
      </c>
      <c r="G5">
        <f>INDEX(Team_Summary!$A$1:$JF$21,MATCH(_xlfn.XLOOKUP($B5,Helpers!$C$4:$C$26,Helpers!$B$4:$B$26,"",0),Team_Summary!$A:$A,0),MATCH("Team_League Table_Overall_GD",Team_Summary!$1:$1,0))</f>
        <v/>
      </c>
      <c r="H5" s="30">
        <f>IF(COUNTIF(G$4:G$23,G5)&gt;1,"T"&amp;_xlfn.RANK.EQ(G5,G$4:G$23,0),_xlfn.RANK.EQ(G5,G$4:G$23,0))</f>
        <v/>
      </c>
      <c r="I5" s="27">
        <f>G5/INDEX(Team_Summary!$A$1:$JF$21,MATCH(_xlfn.XLOOKUP($B5,Helpers!$C$4:$C$26,Helpers!$B$4:$B$26,"",0),Team_Summary!$A:$A,0),MATCH("Team_League Table_Overall_MP",Team_Summary!$1:$1,0))</f>
        <v/>
      </c>
      <c r="J5" s="30">
        <f>IF(COUNTIF(I$4:I$23,I5)&gt;1,"T"&amp;_xlfn.RANK.EQ(I5,I$4:I$23,0),_xlfn.RANK.EQ(I5,I$4:I$23,0))</f>
        <v/>
      </c>
      <c r="K5">
        <f>INDEX(Team_Summary!$A$1:$JF$21,MATCH(_xlfn.XLOOKUP($B5,Helpers!$C$4:$C$26,Helpers!$B$4:$B$26,"",0),Team_Summary!$A:$A,0),MATCH("Team_League Table_Home_W",Team_Summary!$1:$1,0))</f>
        <v/>
      </c>
      <c r="L5" s="30">
        <f>IF(COUNTIF(K$4:K$23,K5)&gt;1,"T"&amp;_xlfn.RANK.EQ(K5,K$4:K$23,0),_xlfn.RANK.EQ(K5,K$4:K$23,0))</f>
        <v/>
      </c>
      <c r="M5">
        <f>INDEX(Team_Summary!$A$1:$JF$21,MATCH(_xlfn.XLOOKUP($B5,Helpers!$C$4:$C$26,Helpers!$B$4:$B$26,"",0),Team_Summary!$A:$A,0),MATCH("Team_League Table_Away_W",Team_Summary!$1:$1,0))</f>
        <v/>
      </c>
      <c r="N5" s="30">
        <f>IF(COUNTIF(M$4:M$23,M5)&gt;1,"T"&amp;_xlfn.RANK.EQ(M5,M$4:M$23,0),_xlfn.RANK.EQ(M5,M$4:M$23,0))</f>
        <v/>
      </c>
      <c r="O5">
        <f>INDEX(Team_Summary!$A$1:$JF$21,MATCH(_xlfn.XLOOKUP($B5,Helpers!$C$4:$C$26,Helpers!$B$4:$B$26,"",0),Team_Summary!$A:$A,0),MATCH("Team_League Table_Home_D",Team_Summary!$1:$1,0))</f>
        <v/>
      </c>
      <c r="P5" s="30">
        <f>IF(COUNTIF(O$4:O$23,O5)&gt;1,"T"&amp;_xlfn.RANK.EQ(O5,O$4:O$23,1),_xlfn.RANK.EQ(O5,O$4:O$23,1))</f>
        <v/>
      </c>
      <c r="Q5">
        <f>INDEX(Team_Summary!$A$1:$JF$21,MATCH(_xlfn.XLOOKUP($B5,Helpers!$C$4:$C$26,Helpers!$B$4:$B$26,"",0),Team_Summary!$A:$A,0),MATCH("Team_League Table_Away_D",Team_Summary!$1:$1,0))</f>
        <v/>
      </c>
      <c r="R5" s="30">
        <f>IF(COUNTIF(Q$4:Q$23,Q5)&gt;1,"T"&amp;_xlfn.RANK.EQ(Q5,Q$4:Q$23,1),_xlfn.RANK.EQ(Q5,Q$4:Q$23,1))</f>
        <v/>
      </c>
      <c r="S5">
        <f>INDEX(Team_Summary!$A$1:$JF$21,MATCH(_xlfn.XLOOKUP($B5,Helpers!$C$4:$C$26,Helpers!$B$4:$B$26,"",0),Team_Summary!$A:$A,0),MATCH("Team_League Table_Home_L",Team_Summary!$1:$1,0))</f>
        <v/>
      </c>
      <c r="T5" s="30">
        <f>IF(COUNTIF(S$4:S$23,S5)&gt;1,"T"&amp;_xlfn.RANK.EQ(S5,S$4:S$23,1),_xlfn.RANK.EQ(S5,S$4:S$23,1))</f>
        <v/>
      </c>
      <c r="U5">
        <f>INDEX(Team_Summary!$A$1:$JF$21,MATCH(_xlfn.XLOOKUP($B5,Helpers!$C$4:$C$26,Helpers!$B$4:$B$26,"",0),Team_Summary!$A:$A,0),MATCH("Team_League Table_Away_L",Team_Summary!$1:$1,0))</f>
        <v/>
      </c>
      <c r="V5" s="30">
        <f>IF(COUNTIF(U$4:U$23,U5)&gt;1,"T"&amp;_xlfn.RANK.EQ(U5,U$4:U$23,1),_xlfn.RANK.EQ(U5,U$4:U$23,1))</f>
        <v/>
      </c>
      <c r="W5">
        <f>INDEX(Team_Summary!$A$1:$JF$21,MATCH(_xlfn.XLOOKUP($B5,Helpers!$C$4:$C$26,Helpers!$B$4:$B$26,"",0),Team_Summary!$A:$A,0),MATCH("Team_League Table_Home_Pts",Team_Summary!$1:$1,0))</f>
        <v/>
      </c>
      <c r="X5" s="30">
        <f>IF(COUNTIF(W$4:W$23,W5)&gt;1,"T"&amp;_xlfn.RANK.EQ(W5,W$4:W$23,0),_xlfn.RANK.EQ(W5,W$4:W$23,0))</f>
        <v/>
      </c>
      <c r="Y5">
        <f>INDEX(Team_Summary!$A$1:$JF$21,MATCH(_xlfn.XLOOKUP($B5,Helpers!$C$4:$C$26,Helpers!$B$4:$B$26,"",0),Team_Summary!$A:$A,0),MATCH("Team_League Table_Away_Pts",Team_Summary!$1:$1,0))</f>
        <v/>
      </c>
      <c r="Z5" s="30">
        <f>IF(COUNTIF(Y$4:Y$23,Y5)&gt;1,"T"&amp;_xlfn.RANK.EQ(Y5,Y$4:Y$23,0),_xlfn.RANK.EQ(Y5,Y$4:Y$23,0))</f>
        <v/>
      </c>
      <c r="AA5">
        <f>INDEX(Team_Summary!$A$1:$JF$21,MATCH(_xlfn.XLOOKUP($B5,Helpers!$C$4:$C$26,Helpers!$B$4:$B$26,"",0),Team_Summary!$A:$A,0),MATCH("Team_League Table_Home_Pts/MP",Team_Summary!$1:$1,0))</f>
        <v/>
      </c>
      <c r="AB5" s="30">
        <f>IF(COUNTIF(AA$4:AA$23,AA5)&gt;1,"T"&amp;_xlfn.RANK.EQ(AA5,AA$4:AA$23,0),_xlfn.RANK.EQ(AA5,AA$4:AA$23,0))</f>
        <v/>
      </c>
      <c r="AC5">
        <f>INDEX(Team_Summary!$A$1:$JF$21,MATCH(_xlfn.XLOOKUP($B5,Helpers!$C$4:$C$26,Helpers!$B$4:$B$26,"",0),Team_Summary!$A:$A,0),MATCH("Team_League Table_Away_Pts/MP",Team_Summary!$1:$1,0))</f>
        <v/>
      </c>
      <c r="AD5" s="30">
        <f>IF(COUNTIF(AC$4:AC$23,AC5)&gt;1,"T"&amp;_xlfn.RANK.EQ(AC5,AC$4:AC$23,0),_xlfn.RANK.EQ(AC5,AC$4:AC$23,0))</f>
        <v/>
      </c>
      <c r="AE5">
        <f>INDEX(Team_Summary!$A$1:$JF$21,MATCH(_xlfn.XLOOKUP($B5,Helpers!$C$4:$C$26,Helpers!$B$4:$B$26,"",0),Team_Summary!$A:$A,0),MATCH("Team_League Table_Overall_Pts/MP",Team_Summary!$1:$1,0))</f>
        <v/>
      </c>
      <c r="AF5" s="30">
        <f>IF(COUNTIF(AE$4:AE$23,AE5)&gt;1,"T"&amp;_xlfn.RANK.EQ(AE5,AE$4:AE$23,0),_xlfn.RANK.EQ(AE5,AE$4:AE$23,0))</f>
        <v/>
      </c>
      <c r="AG5">
        <f>INDEX(Team_Summary!$A$1:$JF$21,MATCH(_xlfn.XLOOKUP($B5,Helpers!$C$4:$C$26,Helpers!$B$4:$B$26,"",0),Team_Summary!$A:$A,0),MATCH("Team_League Table_Home_GF",Team_Summary!$1:$1,0))</f>
        <v/>
      </c>
      <c r="AH5" s="30">
        <f>IF(COUNTIF(AG$4:AG$23,AG5)&gt;1,"T"&amp;_xlfn.RANK.EQ(AG5,AG$4:AG$23,0),_xlfn.RANK.EQ(AG5,AG$4:AG$23,0))</f>
        <v/>
      </c>
      <c r="AI5">
        <f>INDEX(Team_Summary!$A$1:$JF$21,MATCH(_xlfn.XLOOKUP($B5,Helpers!$C$4:$C$26,Helpers!$B$4:$B$26,"",0),Team_Summary!$A:$A,0),MATCH("Team_League Table_Away_GF",Team_Summary!$1:$1,0))</f>
        <v/>
      </c>
      <c r="AJ5" s="30">
        <f>IF(COUNTIF(AI$4:AI$23,AI5)&gt;1,"T"&amp;_xlfn.RANK.EQ(AI5,AI$4:AI$23,0),_xlfn.RANK.EQ(AI5,AI$4:AI$23,0))</f>
        <v/>
      </c>
      <c r="AK5">
        <f>INDEX(Team_Summary!$A$1:$JF$21,MATCH(_xlfn.XLOOKUP($B5,Helpers!$C$4:$C$26,Helpers!$B$4:$B$26,"",0),Team_Summary!$A:$A,0),MATCH("Team_League Table_Home_GA",Team_Summary!$1:$1,0))</f>
        <v/>
      </c>
      <c r="AL5" s="30">
        <f>IF(COUNTIF(AK$4:AK$23,AK5)&gt;1,"T"&amp;_xlfn.RANK.EQ(AK5,AK$4:AK$23,1),_xlfn.RANK.EQ(AK5,AK$4:AK$23,1))</f>
        <v/>
      </c>
      <c r="AM5">
        <f>INDEX(Team_Summary!$A$1:$JF$21,MATCH(_xlfn.XLOOKUP($B5,Helpers!$C$4:$C$26,Helpers!$B$4:$B$26,"",0),Team_Summary!$A:$A,0),MATCH("Team_League Table_Away_GA",Team_Summary!$1:$1,0))</f>
        <v/>
      </c>
      <c r="AN5" s="30">
        <f>IF(COUNTIF(AM$4:AM$23,AM5)&gt;1,"T"&amp;_xlfn.RANK.EQ(AM5,AM$4:AM$23,1),_xlfn.RANK.EQ(AM5,AM$4:AM$23,1))</f>
        <v/>
      </c>
      <c r="AO5">
        <f>INDEX(Team_Summary!$A$1:$JF$21,MATCH(_xlfn.XLOOKUP($B5,Helpers!$C$4:$C$26,Helpers!$B$4:$B$26,"",0),Team_Summary!$A:$A,0),MATCH("Team_League Table_Home_GD",Team_Summary!$1:$1,0))</f>
        <v/>
      </c>
      <c r="AP5" s="30">
        <f>IF(COUNTIF(AO$4:AO$23,AO5)&gt;1,"T"&amp;_xlfn.RANK.EQ(AO5,AO$4:AO$23,0),_xlfn.RANK.EQ(AO5,AO$4:AO$23,0))</f>
        <v/>
      </c>
      <c r="AQ5">
        <f>INDEX(Team_Summary!$A$1:$JF$21,MATCH(_xlfn.XLOOKUP($B5,Helpers!$C$4:$C$26,Helpers!$B$4:$B$26,"",0),Team_Summary!$A:$A,0),MATCH("Team_League Table_Away_GD",Team_Summary!$1:$1,0))</f>
        <v/>
      </c>
      <c r="AR5" s="30">
        <f>IF(COUNTIF(AQ$4:AQ$23,AQ5)&gt;1,"T"&amp;_xlfn.RANK.EQ(AQ5,AQ$4:AQ$23,0),_xlfn.RANK.EQ(AQ5,AQ$4:AQ$23,0))</f>
        <v/>
      </c>
      <c r="AS5">
        <f>INDEX(Team_Summary!$A$1:$JF$21,MATCH(_xlfn.XLOOKUP($B5,Helpers!$C$4:$C$26,Helpers!$B$4:$B$26,"",0),Team_Summary!$A:$A,0),MATCH("Team_Standard_Stats_Gls",Team_Summary!$1:$1,0))</f>
        <v/>
      </c>
      <c r="AT5" s="30">
        <f>IF(COUNTIF(AS$4:AS$23,AS5)&gt;1,"T"&amp;_xlfn.RANK.EQ(AS5,AS$4:AS$23,0),_xlfn.RANK.EQ(AS5,AS$4:AS$23,0))</f>
        <v/>
      </c>
      <c r="AU5" s="27">
        <f>C5/INDEX(Team_Summary!$A$1:$JF$21,MATCH(_xlfn.XLOOKUP($B5,Helpers!$C$4:$C$26,Helpers!$B$4:$B$26,"",0),Team_Summary!$A:$A,0),MATCH("Team_League Table_Overall_MP",Team_Summary!$1:$1,0))</f>
        <v/>
      </c>
      <c r="AV5" s="30">
        <f>IF(COUNTIF(AU$4:AU$23,AU5)&gt;1,"T"&amp;_xlfn.RANK.EQ(AU5,AU$4:AU$23,0),_xlfn.RANK.EQ(AU5,AU$4:AU$23,0))</f>
        <v/>
      </c>
      <c r="AW5">
        <f>INDEX(Team_Summary!$A$1:$JF$21,MATCH(_xlfn.XLOOKUP($B5,Helpers!$C$4:$C$26,Helpers!$B$4:$B$26,"",0),Team_Summary!$A:$A,0),MATCH("Team_Standard_Stats_G-PK",Team_Summary!$1:$1,0))</f>
        <v/>
      </c>
      <c r="AX5" s="30">
        <f>IF(COUNTIF(AW$4:AW$23,AW5)&gt;1,"T"&amp;_xlfn.RANK.EQ(AW5,AW$4:AW$23,0),_xlfn.RANK.EQ(AW5,AW$4:AW$23,0))</f>
        <v/>
      </c>
      <c r="AY5">
        <f>INDEX(Team_Summary!$A$1:$JF$21,MATCH(_xlfn.XLOOKUP($B5,Helpers!$C$4:$C$26,Helpers!$B$4:$B$26,"",0),Team_Summary!$A:$A,0),MATCH("Team_Standard_Stats_PK",Team_Summary!$1:$1,0))</f>
        <v/>
      </c>
      <c r="AZ5" s="30">
        <f>IF(COUNTIF(AY$4:AY$23,AY5)&gt;1,"T"&amp;_xlfn.RANK.EQ(AY5,AY$4:AY$23,0),_xlfn.RANK.EQ(AY5,AY$4:AY$23,0))</f>
        <v/>
      </c>
      <c r="BA5">
        <f>INDEX(Team_Summary!$A$1:$JF$21,MATCH(_xlfn.XLOOKUP($B5,Helpers!$C$4:$C$26,Helpers!$B$4:$B$26,"",0),Team_Summary!$A:$A,0),MATCH("Team_Standard_Stats_Ast.1",Team_Summary!$1:$1,0))</f>
        <v/>
      </c>
      <c r="BB5" s="30">
        <f>IF(COUNTIF(BA$4:BA$23,BA5)&gt;1,"T"&amp;_xlfn.RANK.EQ(BA5,BA$4:BA$23,0),_xlfn.RANK.EQ(BA5,BA$4:BA$23,0))</f>
        <v/>
      </c>
      <c r="BC5">
        <f>INDEX(Team_Summary!$A$1:$JF$21,MATCH(_xlfn.XLOOKUP($B5,Helpers!$C$4:$C$26,Helpers!$B$4:$B$26,"",0),Team_Summary!$A:$A,0),MATCH("Team_Standard_Stats_Ast",Team_Summary!$1:$1,0))</f>
        <v/>
      </c>
      <c r="BD5" s="30">
        <f>IF(COUNTIF(BC$4:BC$23,BC5)&gt;1,"T"&amp;_xlfn.RANK.EQ(BC5,BC$4:BC$23,0),_xlfn.RANK.EQ(BC5,BC$4:BC$23,0))</f>
        <v/>
      </c>
      <c r="BE5">
        <f>INDEX(Team_Summary!$A$1:$JF$21,MATCH(_xlfn.XLOOKUP($B5,Helpers!$C$4:$C$26,Helpers!$B$4:$B$26,"",0),Team_Summary!$A:$A,0),MATCH("Team_Miscellaneous_Stats_CrdY",Team_Summary!$1:$1,0))</f>
        <v/>
      </c>
      <c r="BF5" s="30">
        <f>IF(COUNTIF(BE$4:BE$23,BE5)&gt;1,"T"&amp;_xlfn.RANK.EQ(BE5,BE$4:BE$23,1),_xlfn.RANK.EQ(BE5,BE$4:BE$23,1))</f>
        <v/>
      </c>
      <c r="BG5" s="35">
        <f>BE5/INDEX(Team_Summary!$A$1:$JF$21,MATCH(_xlfn.XLOOKUP($B5,Helpers!$C$4:$C$26,Helpers!$B$4:$B$26,"",0),Team_Summary!$A:$A,0),MATCH("Team_League Table_Overall_MP",Team_Summary!$1:$1,0))</f>
        <v/>
      </c>
      <c r="BH5" s="30">
        <f>IF(COUNTIF(BG$4:BG$23,BG5)&gt;1,"T"&amp;_xlfn.RANK.EQ(BG5,BG$4:BG$23,1),_xlfn.RANK.EQ(BG5,BG$4:BG$23,1))</f>
        <v/>
      </c>
      <c r="BI5">
        <f>INDEX(Team_Summary!$A$1:$JF$21,MATCH(_xlfn.XLOOKUP($B5,Helpers!$C$4:$C$26,Helpers!$B$4:$B$26,"",0),Team_Summary!$A:$A,0),MATCH("Team_Miscellaneous_Stats_CrdR",Team_Summary!$1:$1,0))/INDEX(Team_Summary!$A$1:$JF$21,MATCH(_xlfn.XLOOKUP($B5,Helpers!$C$4:$C$26,Helpers!$B$4:$B$26,"",0),Team_Summary!$A:$A,0),MATCH("Team_League Table_Overall_MP",Team_Summary!$1:$1,0))</f>
        <v/>
      </c>
      <c r="BJ5" s="30">
        <f>IF(COUNTIF(BI$4:BI$23,BI5)&gt;1,"T"&amp;_xlfn.RANK.EQ(BI5,BI$4:BI$23,1),_xlfn.RANK.EQ(BI5,BI$4:BI$23,1))</f>
        <v/>
      </c>
      <c r="BK5">
        <f>INDEX(Team_Summary!$A$1:$JF$21,MATCH(_xlfn.XLOOKUP($B5,Helpers!$C$4:$C$26,Helpers!$B$4:$B$26,"",0),Team_Summary!$A:$A,0),MATCH("Team_Goalkeeping_SoTA",Team_Summary!$1:$1,0))/INDEX(Team_Summary!$A$1:$JF$21,MATCH(_xlfn.XLOOKUP($B5,Helpers!$C$4:$C$26,Helpers!$B$4:$B$26,"",0),Team_Summary!$A:$A,0),MATCH("Team_League Table_Overall_MP",Team_Summary!$1:$1,0))</f>
        <v/>
      </c>
      <c r="BL5" s="30">
        <f>IF(COUNTIF(BK$4:BK$23,BK5)&gt;1,"T"&amp;_xlfn.RANK.EQ(BK5,BK$4:BK$23,1),_xlfn.RANK.EQ(BK5,BK$4:BK$23,1))</f>
        <v/>
      </c>
      <c r="BM5">
        <f>INDEX(Team_Summary!$A$1:$JF$21,MATCH(_xlfn.XLOOKUP($B5,Helpers!$C$4:$C$26,Helpers!$B$4:$B$26,"",0),Team_Summary!$A:$A,0),MATCH("Team_Goalkeeping_Save%",Team_Summary!$1:$1,0))</f>
        <v/>
      </c>
      <c r="BN5" s="30">
        <f>IF(COUNTIF(BM$4:BM$23,BM5)&gt;1,"T"&amp;_xlfn.RANK.EQ(BM5,BM$4:BM$23,0),_xlfn.RANK.EQ(BM5,BM$4:BM$23,0))</f>
        <v/>
      </c>
      <c r="BO5">
        <f>INDEX(Team_Summary!$A$1:$JF$21,MATCH(_xlfn.XLOOKUP($B5,Helpers!$C$4:$C$26,Helpers!$B$4:$B$26,"",0),Team_Summary!$A:$A,0),MATCH("Team_Goalkeeping_CS%",Team_Summary!$1:$1,0))</f>
        <v/>
      </c>
      <c r="BP5" s="30">
        <f>IF(COUNTIF(BO$4:BO$23,BO5)&gt;1,"T"&amp;_xlfn.RANK.EQ(BO5,BO$4:BO$23,0),_xlfn.RANK.EQ(BO5,BO$4:BO$23,0))</f>
        <v/>
      </c>
      <c r="BQ5">
        <f>INDEX(Team_Summary!$A$1:$JF$21,MATCH(_xlfn.XLOOKUP($B5,Helpers!$C$4:$C$26,Helpers!$B$4:$B$26,"",0),Team_Summary!$A:$A,0),MATCH("Team_Goalkeeping_Save%.1",Team_Summary!$1:$1,0))</f>
        <v/>
      </c>
      <c r="BR5" s="30">
        <f>IF(COUNTIF(BQ$4:BQ$23,BQ5)&gt;1,"T"&amp;_xlfn.RANK.EQ(BQ5,BQ$4:BQ$23,0),_xlfn.RANK.EQ(BQ5,BQ$4:BQ$23,0))</f>
        <v/>
      </c>
      <c r="BS5">
        <f>INDEX(Team_Summary!$A$1:$JF$21,MATCH(_xlfn.XLOOKUP($B5,Helpers!$C$4:$C$26,Helpers!$B$4:$B$26,"",0),Team_Summary!$A:$A,0),MATCH("Team_Advanced_Goalkeeping_FK",Team_Summary!$1:$1,0))</f>
        <v/>
      </c>
      <c r="BT5" s="30">
        <f>IF(COUNTIF(BS$4:BS$23,BS5)&gt;1,"T"&amp;_xlfn.RANK.EQ(BS5,BS$4:BS$23,1),_xlfn.RANK.EQ(BS5,BS$4:BS$23,1))</f>
        <v/>
      </c>
      <c r="BU5">
        <f>INDEX(Team_Summary!$A$1:$JF$21,MATCH(_xlfn.XLOOKUP($B5,Helpers!$C$4:$C$26,Helpers!$B$4:$B$26,"",0),Team_Summary!$A:$A,0),MATCH("Team_Advanced_Goalkeeping_CK",Team_Summary!$1:$1,0))</f>
        <v/>
      </c>
      <c r="BV5" s="30">
        <f>IF(COUNTIF(BU$4:BU$23,BU5)&gt;1,"T"&amp;_xlfn.RANK.EQ(BU5,BU$4:BU$23,1),_xlfn.RANK.EQ(BU5,BU$4:BU$23,1))</f>
        <v/>
      </c>
      <c r="BW5">
        <f>INDEX(Team_Summary!$A$1:$JF$21,MATCH(_xlfn.XLOOKUP($B5,Helpers!$C$4:$C$26,Helpers!$B$4:$B$26,"",0),Team_Summary!$A:$A,0),MATCH("Team_Advanced_Goalkeeping_Stp%",Team_Summary!$1:$1,0))</f>
        <v/>
      </c>
      <c r="BX5" s="30">
        <f>IF(COUNTIF(BW$4:BW$23,BW5)&gt;1,"T"&amp;_xlfn.RANK.EQ(BW5,BW$4:BW$23,0),_xlfn.RANK.EQ(BW5,BW$4:BW$23,0))</f>
        <v/>
      </c>
      <c r="BY5">
        <f>INDEX(Team_Summary!$A$1:$JF$21,MATCH(_xlfn.XLOOKUP($B5,Helpers!$C$4:$C$26,Helpers!$B$4:$B$26,"",0),Team_Summary!$A:$A,0),MATCH("Team_Shooting_G/SoT",Team_Summary!$1:$1,0))</f>
        <v/>
      </c>
      <c r="BZ5" s="30">
        <f>IF(COUNTIF(BY$4:BY$23,BY5)&gt;1,"T"&amp;_xlfn.RANK.EQ(BY5,BY$4:BY$23,0),_xlfn.RANK.EQ(BY5,BY$4:BY$23,0))</f>
        <v/>
      </c>
      <c r="CA5">
        <f>INDEX(Team_Summary!$A$1:$JF$21,MATCH(_xlfn.XLOOKUP($B5,Helpers!$C$4:$C$26,Helpers!$B$4:$B$26,"",0),Team_Summary!$A:$A,0),MATCH("Team_Shooting_G/Sh",Team_Summary!$1:$1,0))</f>
        <v/>
      </c>
      <c r="CB5" s="30">
        <f>IF(COUNTIF(CA$4:CA$23,CA5)&gt;1,"T"&amp;_xlfn.RANK.EQ(CA5,CA$4:CA$23,0),_xlfn.RANK.EQ(CA5,CA$4:CA$23,0))</f>
        <v/>
      </c>
      <c r="CC5">
        <f>INDEX(Team_Summary!$A$1:$JF$21,MATCH(_xlfn.XLOOKUP($B5,Helpers!$C$4:$C$26,Helpers!$B$4:$B$26,"",0),Team_Summary!$A:$A,0),MATCH("Team_Shooting_SoT",Team_Summary!$1:$1,0))/INDEX(Team_Summary!$A$1:$JF$21,MATCH(_xlfn.XLOOKUP($B5,Helpers!$C$4:$C$26,Helpers!$B$4:$B$26,"",0),Team_Summary!$A:$A,0),MATCH("Team_League Table_Overall_MP",Team_Summary!$1:$1,0))</f>
        <v/>
      </c>
      <c r="CD5" s="30">
        <f>IF(COUNTIF(CC$4:CC$23,CC5)&gt;1,"T"&amp;_xlfn.RANK.EQ(CC5,CC$4:CC$23,0),_xlfn.RANK.EQ(CC5,CC$4:CC$23,0))</f>
        <v/>
      </c>
      <c r="CE5">
        <f>INDEX(Team_Summary!$A$1:$JF$21,MATCH(_xlfn.XLOOKUP($B5,Helpers!$C$4:$C$26,Helpers!$B$4:$B$26,"",0),Team_Summary!$A:$A,0),MATCH("Team_Shooting_SoT%",Team_Summary!$1:$1,0))</f>
        <v/>
      </c>
      <c r="CF5" s="30">
        <f>IF(COUNTIF(CE$4:CE$23,CE5)&gt;1,"T"&amp;_xlfn.RANK.EQ(CE5,CE$4:CE$23,0),_xlfn.RANK.EQ(CE5,CE$4:CE$23,0))</f>
        <v/>
      </c>
      <c r="CG5">
        <f>INDEX(Team_Summary!$A$1:$JF$21,MATCH(_xlfn.XLOOKUP($B5,Helpers!$C$4:$C$26,Helpers!$B$4:$B$26,"",0),Team_Summary!$A:$A,0),MATCH("Team_Pass_Types_CK",Team_Summary!$1:$1,0))/INDEX(Team_Summary!$A$1:$JF$21,MATCH(_xlfn.XLOOKUP($B5,Helpers!$C$4:$C$26,Helpers!$B$4:$B$26,"",0),Team_Summary!$A:$A,0),MATCH("Team_League Table_Overall_MP",Team_Summary!$1:$1,0))</f>
        <v/>
      </c>
      <c r="CH5" s="30">
        <f>IF(COUNTIF(CG$4:CG$23,CG5)&gt;1,"T"&amp;_xlfn.RANK.EQ(CG5,CG$4:CG$23,0),_xlfn.RANK.EQ(CG5,CG$4:CG$23,0))</f>
        <v/>
      </c>
      <c r="CI5">
        <f>INDEX(Team_Summary!$A$1:$JF$21,MATCH(_xlfn.XLOOKUP($B5,Helpers!$C$4:$C$26,Helpers!$B$4:$B$26,"",0),Team_Summary!$A:$A,0),MATCH("Team_Miscellaneous_Stats_TklW",Team_Summary!$1:$1,0))/INDEX(Team_Summary!$A$1:$JF$21,MATCH(_xlfn.XLOOKUP($B5,Helpers!$C$4:$C$26,Helpers!$B$4:$B$26,"",0),Team_Summary!$A:$A,0),MATCH("Team_League Table_Overall_MP",Team_Summary!$1:$1,0))</f>
        <v/>
      </c>
      <c r="CJ5" s="30">
        <f>IF(COUNTIF(CI$4:CI$23,CI5)&gt;1,"T"&amp;_xlfn.RANK.EQ(CI5,CI$4:CI$23,0),_xlfn.RANK.EQ(CI5,CI$4:CI$23,0))</f>
        <v/>
      </c>
      <c r="CK5">
        <f>INDEX(Team_Summary!$A$1:$JF$21,MATCH(_xlfn.XLOOKUP($B5,Helpers!$C$4:$C$26,Helpers!$B$4:$B$26,"",0),Team_Summary!$A:$A,0),MATCH("Team_Defensive_Actions_Sh",Team_Summary!$1:$1,0))/INDEX(Team_Summary!$A$1:$JF$21,MATCH(_xlfn.XLOOKUP($B5,Helpers!$C$4:$C$26,Helpers!$B$4:$B$26,"",0),Team_Summary!$A:$A,0),MATCH("Team_League Table_Overall_MP",Team_Summary!$1:$1,0))</f>
        <v/>
      </c>
      <c r="CL5" s="30">
        <f>IF(COUNTIF(CK$4:CK$23,CK5)&gt;1,"T"&amp;_xlfn.RANK.EQ(CK5,CK$4:CK$23,0),_xlfn.RANK.EQ(CK5,CK$4:CK$23,0))</f>
        <v/>
      </c>
      <c r="CM5">
        <f>INDEX(Team_Summary!$A$1:$JF$21,MATCH(_xlfn.XLOOKUP($B5,Helpers!$C$4:$C$26,Helpers!$B$4:$B$26,"",0),Team_Summary!$A:$A,0),MATCH("Team_Defensive_Actions_Int",Team_Summary!$1:$1,0))/INDEX(Team_Summary!$A$1:$JF$21,MATCH(_xlfn.XLOOKUP($B5,Helpers!$C$4:$C$26,Helpers!$B$4:$B$26,"",0),Team_Summary!$A:$A,0),MATCH("Team_League Table_Overall_MP",Team_Summary!$1:$1,0))</f>
        <v/>
      </c>
      <c r="CN5" s="30">
        <f>IF(COUNTIF(CM$4:CM$23,CM5)&gt;1,"T"&amp;_xlfn.RANK.EQ(CM5,CM$4:CM$23,0),_xlfn.RANK.EQ(CM5,CM$4:CM$23,0))</f>
        <v/>
      </c>
      <c r="CO5">
        <f>INDEX(Team_Summary!$A$1:$JF$21,MATCH(_xlfn.XLOOKUP($B5,Helpers!$C$4:$C$26,Helpers!$B$4:$B$26,"",0),Team_Summary!$A:$A,0),MATCH("Team_Possession_Poss",Team_Summary!$1:$1,0))</f>
        <v/>
      </c>
      <c r="CP5" s="30">
        <f>IF(COUNTIF(CO$4:CO$23,CO5)&gt;1,"T"&amp;_xlfn.RANK.EQ(CO5,CO$4:CO$23,0),_xlfn.RANK.EQ(CO5,CO$4:CO$23,0))</f>
        <v/>
      </c>
      <c r="CQ5">
        <f>INDEX(Team_Summary!$A$1:$JF$21,MATCH(_xlfn.XLOOKUP($B5,Helpers!$C$4:$C$26,Helpers!$B$4:$B$26,"",0),Team_Summary!$A:$A,0),MATCH("Team_Possession_Def Pen",Team_Summary!$1:$1,0))/INDEX(Team_Summary!$A$1:$JF$21,MATCH(_xlfn.XLOOKUP($B5,Helpers!$C$4:$C$26,Helpers!$B$4:$B$26,"",0),Team_Summary!$A:$A,0),MATCH("Team_League Table_Overall_MP",Team_Summary!$1:$1,0))</f>
        <v/>
      </c>
      <c r="CR5" s="30">
        <f>IF(COUNTIF(CQ$4:CQ$23,CQ5)&gt;1,"T"&amp;_xlfn.RANK.EQ(CQ5,CQ$4:CQ$23,0),_xlfn.RANK.EQ(CQ5,CQ$4:CQ$23,0))</f>
        <v/>
      </c>
      <c r="CS5">
        <f>INDEX(Team_Summary!$A$1:$JF$21,MATCH(_xlfn.XLOOKUP($B5,Helpers!$C$4:$C$26,Helpers!$B$4:$B$26,"",0),Team_Summary!$A:$A,0),MATCH("Team_Possession_Def 3rd",Team_Summary!$1:$1,0))/INDEX(Team_Summary!$A$1:$JF$21,MATCH(_xlfn.XLOOKUP($B5,Helpers!$C$4:$C$26,Helpers!$B$4:$B$26,"",0),Team_Summary!$A:$A,0),MATCH("Team_League Table_Overall_MP",Team_Summary!$1:$1,0))</f>
        <v/>
      </c>
      <c r="CT5" s="30">
        <f>IF(COUNTIF(CS$4:CS$23,CS5)&gt;1,"T"&amp;_xlfn.RANK.EQ(CS5,CS$4:CS$23,0),_xlfn.RANK.EQ(CS5,CS$4:CS$23,0))</f>
        <v/>
      </c>
      <c r="CU5">
        <f>INDEX(Team_Summary!$A$1:$JF$21,MATCH(_xlfn.XLOOKUP($B5,Helpers!$C$4:$C$26,Helpers!$B$4:$B$26,"",0),Team_Summary!$A:$A,0),MATCH("Team_Possession_Mid 3rd",Team_Summary!$1:$1,0))/INDEX(Team_Summary!$A$1:$JF$21,MATCH(_xlfn.XLOOKUP($B5,Helpers!$C$4:$C$26,Helpers!$B$4:$B$26,"",0),Team_Summary!$A:$A,0),MATCH("Team_League Table_Overall_MP",Team_Summary!$1:$1,0))</f>
        <v/>
      </c>
      <c r="CV5" s="30">
        <f>IF(COUNTIF(CU$4:CU$23,CU5)&gt;1,"T"&amp;_xlfn.RANK.EQ(CU5,CU$4:CU$23,0),_xlfn.RANK.EQ(CU5,CU$4:CU$23,0))</f>
        <v/>
      </c>
      <c r="CW5">
        <f>INDEX(Team_Summary!$A$1:$JF$21,MATCH(_xlfn.XLOOKUP($B5,Helpers!$C$4:$C$26,Helpers!$B$4:$B$26,"",0),Team_Summary!$A:$A,0),MATCH("Team_Possession_Att 3rd",Team_Summary!$1:$1,0))/INDEX(Team_Summary!$A$1:$JF$21,MATCH(_xlfn.XLOOKUP($B5,Helpers!$C$4:$C$26,Helpers!$B$4:$B$26,"",0),Team_Summary!$A:$A,0),MATCH("Team_League Table_Overall_MP",Team_Summary!$1:$1,0))</f>
        <v/>
      </c>
      <c r="CX5" s="30">
        <f>IF(COUNTIF(CW$4:CW$23,CW5)&gt;1,"T"&amp;_xlfn.RANK.EQ(CW5,CW$4:CW$23,0),_xlfn.RANK.EQ(CW5,CW$4:CW$23,0))</f>
        <v/>
      </c>
      <c r="CY5">
        <f>INDEX(Team_Summary!$A$1:$JF$21,MATCH(_xlfn.XLOOKUP($B5,Helpers!$C$4:$C$26,Helpers!$B$4:$B$26,"",0),Team_Summary!$A:$A,0),MATCH("Team_Possession_Att Pen",Team_Summary!$1:$1,0))/INDEX(Team_Summary!$A$1:$JF$21,MATCH(_xlfn.XLOOKUP($B5,Helpers!$C$4:$C$26,Helpers!$B$4:$B$26,"",0),Team_Summary!$A:$A,0),MATCH("Team_League Table_Overall_MP",Team_Summary!$1:$1,0))</f>
        <v/>
      </c>
      <c r="CZ5" s="30">
        <f>IF(COUNTIF(CY$4:CY$23,CY5)&gt;1,"T"&amp;_xlfn.RANK.EQ(CY5,CY$4:CY$23,0),_xlfn.RANK.EQ(CY5,CY$4:CY$23,0))</f>
        <v/>
      </c>
      <c r="DA5">
        <f>INDEX(Team_Summary!$A$1:$JF$21,MATCH(_xlfn.XLOOKUP($B5,Helpers!$C$4:$C$26,Helpers!$B$4:$B$26,"",0),Team_Summary!$A:$A,0),MATCH("Team_Miscellaneous_Stats_Fls",Team_Summary!$1:$1,0))/INDEX(Team_Summary!$A$1:$JF$21,MATCH(_xlfn.XLOOKUP($B5,Helpers!$C$4:$C$26,Helpers!$B$4:$B$26,"",0),Team_Summary!$A:$A,0),MATCH("Team_League Table_Overall_MP",Team_Summary!$1:$1,0))</f>
        <v/>
      </c>
      <c r="DB5" s="30">
        <f>IF(COUNTIF(DA$4:DA$23,DA5)&gt;1,"T"&amp;_xlfn.RANK.EQ(DA5,DA$4:DA$23,1),_xlfn.RANK.EQ(DA5,DA$4:DA$23,1))</f>
        <v/>
      </c>
      <c r="DC5">
        <f>INDEX(Team_Summary!$A$1:$JF$21,MATCH(_xlfn.XLOOKUP($B5,Helpers!$C$4:$C$26,Helpers!$B$4:$B$26,"",0),Team_Summary!$A:$A,0),MATCH("Team_Miscellaneous_Stats_Fld",Team_Summary!$1:$1,0))/INDEX(Team_Summary!$A$1:$JF$21,MATCH(_xlfn.XLOOKUP($B5,Helpers!$C$4:$C$26,Helpers!$B$4:$B$26,"",0),Team_Summary!$A:$A,0),MATCH("Team_League Table_Overall_MP",Team_Summary!$1:$1,0))</f>
        <v/>
      </c>
      <c r="DD5" s="30">
        <f>IF(COUNTIF(DC$4:DC$23,DC5)&gt;1,"T"&amp;_xlfn.RANK.EQ(DC5,DC$4:DC$23,0),_xlfn.RANK.EQ(DC5,DC$4:DC$23,0))</f>
        <v/>
      </c>
      <c r="DE5">
        <f>INDEX(Team_Summary!$A$1:$JF$21,MATCH(_xlfn.XLOOKUP($B5,Helpers!$C$4:$C$26,Helpers!$B$4:$B$26,"",0),Team_Summary!$A:$A,0),MATCH("Team_Miscellaneous_Stats_Won",Team_Summary!$1:$1,0))/INDEX(Team_Summary!$A$1:$JF$21,MATCH(_xlfn.XLOOKUP($B5,Helpers!$C$4:$C$26,Helpers!$B$4:$B$26,"",0),Team_Summary!$A:$A,0),MATCH("Team_League Table_Overall_MP",Team_Summary!$1:$1,0))</f>
        <v/>
      </c>
      <c r="DF5" s="30">
        <f>IF(COUNTIF(DE$4:DE$23,DE5)&gt;1,"T"&amp;_xlfn.RANK.EQ(DE5,DE$4:DE$23,0),_xlfn.RANK.EQ(DE5,DE$4:DE$23,0))</f>
        <v/>
      </c>
      <c r="DG5">
        <f>INDEX(Team_Summary!$A$1:$JF$21,MATCH(_xlfn.XLOOKUP($B5,Helpers!$C$4:$C$26,Helpers!$B$4:$B$26,"",0),Team_Summary!$A:$A,0),MATCH("Team_Miscellaneous_Stats_Pkwon",Team_Summary!$1:$1,0))</f>
        <v/>
      </c>
      <c r="DH5" s="30">
        <f>IF(COUNTIF(DG$4:DG$23,DG5)&gt;1,"T"&amp;_xlfn.RANK.EQ(DG5,DG$4:DG$23,0),_xlfn.RANK.EQ(DG5,DG$4:DG$23,0))</f>
        <v/>
      </c>
      <c r="DI5">
        <f>INDEX(Team_Summary!$A$1:$JF$21,MATCH(_xlfn.XLOOKUP($B5,Helpers!$C$4:$C$26,Helpers!$B$4:$B$26,"",0),Team_Summary!$A:$A,0),MATCH("Team_Miscellaneous_Stats_Pkcon",Team_Summary!$1:$1,0))</f>
        <v/>
      </c>
      <c r="DJ5" s="30">
        <f>IF(COUNTIF(DI$4:DI$23,DI5)&gt;1,"T"&amp;_xlfn.RANK.EQ(DI5,DI$4:DI$23,1),_xlfn.RANK.EQ(DI5,DI$4:DI$23,1))</f>
        <v/>
      </c>
      <c r="DK5">
        <f>INDEX(Team_Summary!$A$1:$JF$21,MATCH(_xlfn.XLOOKUP($B5,Helpers!$C$4:$C$26,Helpers!$B$4:$B$26,"",0),Team_Summary!$A:$A,0),MATCH("Team_Playing_Time_Age",Team_Summary!$1:$1,0))</f>
        <v/>
      </c>
      <c r="DL5" s="30">
        <f>IF(COUNTIF(DK$4:DK$23,DK5)&gt;1,"T"&amp;_xlfn.RANK.EQ(DK5,DK$4:DK$23,1),_xlfn.RANK.EQ(DK5,DK$4:DK$23,1))</f>
        <v/>
      </c>
    </row>
    <row r="6">
      <c r="B6" t="inlineStr">
        <is>
          <t>BOU</t>
        </is>
      </c>
      <c r="C6">
        <f>INDEX(Team_Summary!$A$1:$JF$21,MATCH(_xlfn.XLOOKUP($B6,Helpers!$C$4:$C$26,Helpers!$B$4:$B$26,"",0),Team_Summary!$A:$A,0),MATCH("Team_League Table_Overall_GF",Team_Summary!$1:$1,0))</f>
        <v/>
      </c>
      <c r="D6" s="30">
        <f>IF(COUNTIF(C$4:C$23,C6)&gt;1,"T"&amp;_xlfn.RANK.EQ(C6,C$4:C$23,0),_xlfn.RANK.EQ(C6,C$4:C$23,0))</f>
        <v/>
      </c>
      <c r="E6">
        <f>INDEX(Team_Summary!$A$1:$JF$21,MATCH(_xlfn.XLOOKUP($B6,Helpers!$C$4:$C$26,Helpers!$B$4:$B$26,"",0),Team_Summary!$A:$A,0),MATCH("Team_League Table_Overall_GA",Team_Summary!$1:$1,0))</f>
        <v/>
      </c>
      <c r="F6" s="30">
        <f>IF(COUNTIF(E$4:E$23,E6)&gt;1,"T"&amp;_xlfn.RANK.EQ(E6,E$4:E$23,1),_xlfn.RANK.EQ(E6,E$4:E$23,1))</f>
        <v/>
      </c>
      <c r="G6">
        <f>INDEX(Team_Summary!$A$1:$JF$21,MATCH(_xlfn.XLOOKUP($B6,Helpers!$C$4:$C$26,Helpers!$B$4:$B$26,"",0),Team_Summary!$A:$A,0),MATCH("Team_League Table_Overall_GD",Team_Summary!$1:$1,0))</f>
        <v/>
      </c>
      <c r="H6" s="30">
        <f>IF(COUNTIF(G$4:G$23,G6)&gt;1,"T"&amp;_xlfn.RANK.EQ(G6,G$4:G$23,0),_xlfn.RANK.EQ(G6,G$4:G$23,0))</f>
        <v/>
      </c>
      <c r="I6" s="27">
        <f>G6/INDEX(Team_Summary!$A$1:$JF$21,MATCH(_xlfn.XLOOKUP($B6,Helpers!$C$4:$C$26,Helpers!$B$4:$B$26,"",0),Team_Summary!$A:$A,0),MATCH("Team_League Table_Overall_MP",Team_Summary!$1:$1,0))</f>
        <v/>
      </c>
      <c r="J6" s="30">
        <f>IF(COUNTIF(I$4:I$23,I6)&gt;1,"T"&amp;_xlfn.RANK.EQ(I6,I$4:I$23,0),_xlfn.RANK.EQ(I6,I$4:I$23,0))</f>
        <v/>
      </c>
      <c r="K6">
        <f>INDEX(Team_Summary!$A$1:$JF$21,MATCH(_xlfn.XLOOKUP($B6,Helpers!$C$4:$C$26,Helpers!$B$4:$B$26,"",0),Team_Summary!$A:$A,0),MATCH("Team_League Table_Home_W",Team_Summary!$1:$1,0))</f>
        <v/>
      </c>
      <c r="L6" s="30">
        <f>IF(COUNTIF(K$4:K$23,K6)&gt;1,"T"&amp;_xlfn.RANK.EQ(K6,K$4:K$23,0),_xlfn.RANK.EQ(K6,K$4:K$23,0))</f>
        <v/>
      </c>
      <c r="M6">
        <f>INDEX(Team_Summary!$A$1:$JF$21,MATCH(_xlfn.XLOOKUP($B6,Helpers!$C$4:$C$26,Helpers!$B$4:$B$26,"",0),Team_Summary!$A:$A,0),MATCH("Team_League Table_Away_W",Team_Summary!$1:$1,0))</f>
        <v/>
      </c>
      <c r="N6" s="30">
        <f>IF(COUNTIF(M$4:M$23,M6)&gt;1,"T"&amp;_xlfn.RANK.EQ(M6,M$4:M$23,0),_xlfn.RANK.EQ(M6,M$4:M$23,0))</f>
        <v/>
      </c>
      <c r="O6">
        <f>INDEX(Team_Summary!$A$1:$JF$21,MATCH(_xlfn.XLOOKUP($B6,Helpers!$C$4:$C$26,Helpers!$B$4:$B$26,"",0),Team_Summary!$A:$A,0),MATCH("Team_League Table_Home_D",Team_Summary!$1:$1,0))</f>
        <v/>
      </c>
      <c r="P6" s="30">
        <f>IF(COUNTIF(O$4:O$23,O6)&gt;1,"T"&amp;_xlfn.RANK.EQ(O6,O$4:O$23,1),_xlfn.RANK.EQ(O6,O$4:O$23,1))</f>
        <v/>
      </c>
      <c r="Q6">
        <f>INDEX(Team_Summary!$A$1:$JF$21,MATCH(_xlfn.XLOOKUP($B6,Helpers!$C$4:$C$26,Helpers!$B$4:$B$26,"",0),Team_Summary!$A:$A,0),MATCH("Team_League Table_Away_D",Team_Summary!$1:$1,0))</f>
        <v/>
      </c>
      <c r="R6" s="30">
        <f>IF(COUNTIF(Q$4:Q$23,Q6)&gt;1,"T"&amp;_xlfn.RANK.EQ(Q6,Q$4:Q$23,1),_xlfn.RANK.EQ(Q6,Q$4:Q$23,1))</f>
        <v/>
      </c>
      <c r="S6">
        <f>INDEX(Team_Summary!$A$1:$JF$21,MATCH(_xlfn.XLOOKUP($B6,Helpers!$C$4:$C$26,Helpers!$B$4:$B$26,"",0),Team_Summary!$A:$A,0),MATCH("Team_League Table_Home_L",Team_Summary!$1:$1,0))</f>
        <v/>
      </c>
      <c r="T6" s="30">
        <f>IF(COUNTIF(S$4:S$23,S6)&gt;1,"T"&amp;_xlfn.RANK.EQ(S6,S$4:S$23,1),_xlfn.RANK.EQ(S6,S$4:S$23,1))</f>
        <v/>
      </c>
      <c r="U6">
        <f>INDEX(Team_Summary!$A$1:$JF$21,MATCH(_xlfn.XLOOKUP($B6,Helpers!$C$4:$C$26,Helpers!$B$4:$B$26,"",0),Team_Summary!$A:$A,0),MATCH("Team_League Table_Away_L",Team_Summary!$1:$1,0))</f>
        <v/>
      </c>
      <c r="V6" s="30">
        <f>IF(COUNTIF(U$4:U$23,U6)&gt;1,"T"&amp;_xlfn.RANK.EQ(U6,U$4:U$23,1),_xlfn.RANK.EQ(U6,U$4:U$23,1))</f>
        <v/>
      </c>
      <c r="W6">
        <f>INDEX(Team_Summary!$A$1:$JF$21,MATCH(_xlfn.XLOOKUP($B6,Helpers!$C$4:$C$26,Helpers!$B$4:$B$26,"",0),Team_Summary!$A:$A,0),MATCH("Team_League Table_Home_Pts",Team_Summary!$1:$1,0))</f>
        <v/>
      </c>
      <c r="X6" s="30">
        <f>IF(COUNTIF(W$4:W$23,W6)&gt;1,"T"&amp;_xlfn.RANK.EQ(W6,W$4:W$23,0),_xlfn.RANK.EQ(W6,W$4:W$23,0))</f>
        <v/>
      </c>
      <c r="Y6">
        <f>INDEX(Team_Summary!$A$1:$JF$21,MATCH(_xlfn.XLOOKUP($B6,Helpers!$C$4:$C$26,Helpers!$B$4:$B$26,"",0),Team_Summary!$A:$A,0),MATCH("Team_League Table_Away_Pts",Team_Summary!$1:$1,0))</f>
        <v/>
      </c>
      <c r="Z6" s="30">
        <f>IF(COUNTIF(Y$4:Y$23,Y6)&gt;1,"T"&amp;_xlfn.RANK.EQ(Y6,Y$4:Y$23,0),_xlfn.RANK.EQ(Y6,Y$4:Y$23,0))</f>
        <v/>
      </c>
      <c r="AA6">
        <f>INDEX(Team_Summary!$A$1:$JF$21,MATCH(_xlfn.XLOOKUP($B6,Helpers!$C$4:$C$26,Helpers!$B$4:$B$26,"",0),Team_Summary!$A:$A,0),MATCH("Team_League Table_Home_Pts/MP",Team_Summary!$1:$1,0))</f>
        <v/>
      </c>
      <c r="AB6" s="30">
        <f>IF(COUNTIF(AA$4:AA$23,AA6)&gt;1,"T"&amp;_xlfn.RANK.EQ(AA6,AA$4:AA$23,0),_xlfn.RANK.EQ(AA6,AA$4:AA$23,0))</f>
        <v/>
      </c>
      <c r="AC6">
        <f>INDEX(Team_Summary!$A$1:$JF$21,MATCH(_xlfn.XLOOKUP($B6,Helpers!$C$4:$C$26,Helpers!$B$4:$B$26,"",0),Team_Summary!$A:$A,0),MATCH("Team_League Table_Away_Pts/MP",Team_Summary!$1:$1,0))</f>
        <v/>
      </c>
      <c r="AD6" s="30">
        <f>IF(COUNTIF(AC$4:AC$23,AC6)&gt;1,"T"&amp;_xlfn.RANK.EQ(AC6,AC$4:AC$23,0),_xlfn.RANK.EQ(AC6,AC$4:AC$23,0))</f>
        <v/>
      </c>
      <c r="AE6">
        <f>INDEX(Team_Summary!$A$1:$JF$21,MATCH(_xlfn.XLOOKUP($B6,Helpers!$C$4:$C$26,Helpers!$B$4:$B$26,"",0),Team_Summary!$A:$A,0),MATCH("Team_League Table_Overall_Pts/MP",Team_Summary!$1:$1,0))</f>
        <v/>
      </c>
      <c r="AF6" s="30">
        <f>IF(COUNTIF(AE$4:AE$23,AE6)&gt;1,"T"&amp;_xlfn.RANK.EQ(AE6,AE$4:AE$23,0),_xlfn.RANK.EQ(AE6,AE$4:AE$23,0))</f>
        <v/>
      </c>
      <c r="AG6">
        <f>INDEX(Team_Summary!$A$1:$JF$21,MATCH(_xlfn.XLOOKUP($B6,Helpers!$C$4:$C$26,Helpers!$B$4:$B$26,"",0),Team_Summary!$A:$A,0),MATCH("Team_League Table_Home_GF",Team_Summary!$1:$1,0))</f>
        <v/>
      </c>
      <c r="AH6" s="30">
        <f>IF(COUNTIF(AG$4:AG$23,AG6)&gt;1,"T"&amp;_xlfn.RANK.EQ(AG6,AG$4:AG$23,0),_xlfn.RANK.EQ(AG6,AG$4:AG$23,0))</f>
        <v/>
      </c>
      <c r="AI6">
        <f>INDEX(Team_Summary!$A$1:$JF$21,MATCH(_xlfn.XLOOKUP($B6,Helpers!$C$4:$C$26,Helpers!$B$4:$B$26,"",0),Team_Summary!$A:$A,0),MATCH("Team_League Table_Away_GF",Team_Summary!$1:$1,0))</f>
        <v/>
      </c>
      <c r="AJ6" s="30">
        <f>IF(COUNTIF(AI$4:AI$23,AI6)&gt;1,"T"&amp;_xlfn.RANK.EQ(AI6,AI$4:AI$23,0),_xlfn.RANK.EQ(AI6,AI$4:AI$23,0))</f>
        <v/>
      </c>
      <c r="AK6">
        <f>INDEX(Team_Summary!$A$1:$JF$21,MATCH(_xlfn.XLOOKUP($B6,Helpers!$C$4:$C$26,Helpers!$B$4:$B$26,"",0),Team_Summary!$A:$A,0),MATCH("Team_League Table_Home_GA",Team_Summary!$1:$1,0))</f>
        <v/>
      </c>
      <c r="AL6" s="30">
        <f>IF(COUNTIF(AK$4:AK$23,AK6)&gt;1,"T"&amp;_xlfn.RANK.EQ(AK6,AK$4:AK$23,1),_xlfn.RANK.EQ(AK6,AK$4:AK$23,1))</f>
        <v/>
      </c>
      <c r="AM6">
        <f>INDEX(Team_Summary!$A$1:$JF$21,MATCH(_xlfn.XLOOKUP($B6,Helpers!$C$4:$C$26,Helpers!$B$4:$B$26,"",0),Team_Summary!$A:$A,0),MATCH("Team_League Table_Away_GA",Team_Summary!$1:$1,0))</f>
        <v/>
      </c>
      <c r="AN6" s="30">
        <f>IF(COUNTIF(AM$4:AM$23,AM6)&gt;1,"T"&amp;_xlfn.RANK.EQ(AM6,AM$4:AM$23,1),_xlfn.RANK.EQ(AM6,AM$4:AM$23,1))</f>
        <v/>
      </c>
      <c r="AO6">
        <f>INDEX(Team_Summary!$A$1:$JF$21,MATCH(_xlfn.XLOOKUP($B6,Helpers!$C$4:$C$26,Helpers!$B$4:$B$26,"",0),Team_Summary!$A:$A,0),MATCH("Team_League Table_Home_GD",Team_Summary!$1:$1,0))</f>
        <v/>
      </c>
      <c r="AP6" s="30">
        <f>IF(COUNTIF(AO$4:AO$23,AO6)&gt;1,"T"&amp;_xlfn.RANK.EQ(AO6,AO$4:AO$23,0),_xlfn.RANK.EQ(AO6,AO$4:AO$23,0))</f>
        <v/>
      </c>
      <c r="AQ6">
        <f>INDEX(Team_Summary!$A$1:$JF$21,MATCH(_xlfn.XLOOKUP($B6,Helpers!$C$4:$C$26,Helpers!$B$4:$B$26,"",0),Team_Summary!$A:$A,0),MATCH("Team_League Table_Away_GD",Team_Summary!$1:$1,0))</f>
        <v/>
      </c>
      <c r="AR6" s="30">
        <f>IF(COUNTIF(AQ$4:AQ$23,AQ6)&gt;1,"T"&amp;_xlfn.RANK.EQ(AQ6,AQ$4:AQ$23,0),_xlfn.RANK.EQ(AQ6,AQ$4:AQ$23,0))</f>
        <v/>
      </c>
      <c r="AS6">
        <f>INDEX(Team_Summary!$A$1:$JF$21,MATCH(_xlfn.XLOOKUP($B6,Helpers!$C$4:$C$26,Helpers!$B$4:$B$26,"",0),Team_Summary!$A:$A,0),MATCH("Team_Standard_Stats_Gls",Team_Summary!$1:$1,0))</f>
        <v/>
      </c>
      <c r="AT6" s="30">
        <f>IF(COUNTIF(AS$4:AS$23,AS6)&gt;1,"T"&amp;_xlfn.RANK.EQ(AS6,AS$4:AS$23,0),_xlfn.RANK.EQ(AS6,AS$4:AS$23,0))</f>
        <v/>
      </c>
      <c r="AU6" s="27">
        <f>C6/INDEX(Team_Summary!$A$1:$JF$21,MATCH(_xlfn.XLOOKUP($B6,Helpers!$C$4:$C$26,Helpers!$B$4:$B$26,"",0),Team_Summary!$A:$A,0),MATCH("Team_League Table_Overall_MP",Team_Summary!$1:$1,0))</f>
        <v/>
      </c>
      <c r="AV6" s="30">
        <f>IF(COUNTIF(AU$4:AU$23,AU6)&gt;1,"T"&amp;_xlfn.RANK.EQ(AU6,AU$4:AU$23,0),_xlfn.RANK.EQ(AU6,AU$4:AU$23,0))</f>
        <v/>
      </c>
      <c r="AW6">
        <f>INDEX(Team_Summary!$A$1:$JF$21,MATCH(_xlfn.XLOOKUP($B6,Helpers!$C$4:$C$26,Helpers!$B$4:$B$26,"",0),Team_Summary!$A:$A,0),MATCH("Team_Standard_Stats_G-PK",Team_Summary!$1:$1,0))</f>
        <v/>
      </c>
      <c r="AX6" s="30">
        <f>IF(COUNTIF(AW$4:AW$23,AW6)&gt;1,"T"&amp;_xlfn.RANK.EQ(AW6,AW$4:AW$23,0),_xlfn.RANK.EQ(AW6,AW$4:AW$23,0))</f>
        <v/>
      </c>
      <c r="AY6">
        <f>INDEX(Team_Summary!$A$1:$JF$21,MATCH(_xlfn.XLOOKUP($B6,Helpers!$C$4:$C$26,Helpers!$B$4:$B$26,"",0),Team_Summary!$A:$A,0),MATCH("Team_Standard_Stats_PK",Team_Summary!$1:$1,0))</f>
        <v/>
      </c>
      <c r="AZ6" s="30">
        <f>IF(COUNTIF(AY$4:AY$23,AY6)&gt;1,"T"&amp;_xlfn.RANK.EQ(AY6,AY$4:AY$23,0),_xlfn.RANK.EQ(AY6,AY$4:AY$23,0))</f>
        <v/>
      </c>
      <c r="BA6">
        <f>INDEX(Team_Summary!$A$1:$JF$21,MATCH(_xlfn.XLOOKUP($B6,Helpers!$C$4:$C$26,Helpers!$B$4:$B$26,"",0),Team_Summary!$A:$A,0),MATCH("Team_Standard_Stats_Ast.1",Team_Summary!$1:$1,0))</f>
        <v/>
      </c>
      <c r="BB6" s="30">
        <f>IF(COUNTIF(BA$4:BA$23,BA6)&gt;1,"T"&amp;_xlfn.RANK.EQ(BA6,BA$4:BA$23,0),_xlfn.RANK.EQ(BA6,BA$4:BA$23,0))</f>
        <v/>
      </c>
      <c r="BC6">
        <f>INDEX(Team_Summary!$A$1:$JF$21,MATCH(_xlfn.XLOOKUP($B6,Helpers!$C$4:$C$26,Helpers!$B$4:$B$26,"",0),Team_Summary!$A:$A,0),MATCH("Team_Standard_Stats_Ast",Team_Summary!$1:$1,0))</f>
        <v/>
      </c>
      <c r="BD6" s="30">
        <f>IF(COUNTIF(BC$4:BC$23,BC6)&gt;1,"T"&amp;_xlfn.RANK.EQ(BC6,BC$4:BC$23,0),_xlfn.RANK.EQ(BC6,BC$4:BC$23,0))</f>
        <v/>
      </c>
      <c r="BE6">
        <f>INDEX(Team_Summary!$A$1:$JF$21,MATCH(_xlfn.XLOOKUP($B6,Helpers!$C$4:$C$26,Helpers!$B$4:$B$26,"",0),Team_Summary!$A:$A,0),MATCH("Team_Miscellaneous_Stats_CrdY",Team_Summary!$1:$1,0))</f>
        <v/>
      </c>
      <c r="BF6" s="30">
        <f>IF(COUNTIF(BE$4:BE$23,BE6)&gt;1,"T"&amp;_xlfn.RANK.EQ(BE6,BE$4:BE$23,1),_xlfn.RANK.EQ(BE6,BE$4:BE$23,1))</f>
        <v/>
      </c>
      <c r="BG6" s="35">
        <f>BE6/INDEX(Team_Summary!$A$1:$JF$21,MATCH(_xlfn.XLOOKUP($B6,Helpers!$C$4:$C$26,Helpers!$B$4:$B$26,"",0),Team_Summary!$A:$A,0),MATCH("Team_League Table_Overall_MP",Team_Summary!$1:$1,0))</f>
        <v/>
      </c>
      <c r="BH6" s="30">
        <f>IF(COUNTIF(BG$4:BG$23,BG6)&gt;1,"T"&amp;_xlfn.RANK.EQ(BG6,BG$4:BG$23,1),_xlfn.RANK.EQ(BG6,BG$4:BG$23,1))</f>
        <v/>
      </c>
      <c r="BI6">
        <f>INDEX(Team_Summary!$A$1:$JF$21,MATCH(_xlfn.XLOOKUP($B6,Helpers!$C$4:$C$26,Helpers!$B$4:$B$26,"",0),Team_Summary!$A:$A,0),MATCH("Team_Miscellaneous_Stats_CrdR",Team_Summary!$1:$1,0))/INDEX(Team_Summary!$A$1:$JF$21,MATCH(_xlfn.XLOOKUP($B6,Helpers!$C$4:$C$26,Helpers!$B$4:$B$26,"",0),Team_Summary!$A:$A,0),MATCH("Team_League Table_Overall_MP",Team_Summary!$1:$1,0))</f>
        <v/>
      </c>
      <c r="BJ6" s="30">
        <f>IF(COUNTIF(BI$4:BI$23,BI6)&gt;1,"T"&amp;_xlfn.RANK.EQ(BI6,BI$4:BI$23,1),_xlfn.RANK.EQ(BI6,BI$4:BI$23,1))</f>
        <v/>
      </c>
      <c r="BK6">
        <f>INDEX(Team_Summary!$A$1:$JF$21,MATCH(_xlfn.XLOOKUP($B6,Helpers!$C$4:$C$26,Helpers!$B$4:$B$26,"",0),Team_Summary!$A:$A,0),MATCH("Team_Goalkeeping_SoTA",Team_Summary!$1:$1,0))/INDEX(Team_Summary!$A$1:$JF$21,MATCH(_xlfn.XLOOKUP($B6,Helpers!$C$4:$C$26,Helpers!$B$4:$B$26,"",0),Team_Summary!$A:$A,0),MATCH("Team_League Table_Overall_MP",Team_Summary!$1:$1,0))</f>
        <v/>
      </c>
      <c r="BL6" s="30">
        <f>IF(COUNTIF(BK$4:BK$23,BK6)&gt;1,"T"&amp;_xlfn.RANK.EQ(BK6,BK$4:BK$23,1),_xlfn.RANK.EQ(BK6,BK$4:BK$23,1))</f>
        <v/>
      </c>
      <c r="BM6">
        <f>INDEX(Team_Summary!$A$1:$JF$21,MATCH(_xlfn.XLOOKUP($B6,Helpers!$C$4:$C$26,Helpers!$B$4:$B$26,"",0),Team_Summary!$A:$A,0),MATCH("Team_Goalkeeping_Save%",Team_Summary!$1:$1,0))</f>
        <v/>
      </c>
      <c r="BN6" s="30">
        <f>IF(COUNTIF(BM$4:BM$23,BM6)&gt;1,"T"&amp;_xlfn.RANK.EQ(BM6,BM$4:BM$23,0),_xlfn.RANK.EQ(BM6,BM$4:BM$23,0))</f>
        <v/>
      </c>
      <c r="BO6">
        <f>INDEX(Team_Summary!$A$1:$JF$21,MATCH(_xlfn.XLOOKUP($B6,Helpers!$C$4:$C$26,Helpers!$B$4:$B$26,"",0),Team_Summary!$A:$A,0),MATCH("Team_Goalkeeping_CS%",Team_Summary!$1:$1,0))</f>
        <v/>
      </c>
      <c r="BP6" s="30">
        <f>IF(COUNTIF(BO$4:BO$23,BO6)&gt;1,"T"&amp;_xlfn.RANK.EQ(BO6,BO$4:BO$23,0),_xlfn.RANK.EQ(BO6,BO$4:BO$23,0))</f>
        <v/>
      </c>
      <c r="BQ6">
        <f>INDEX(Team_Summary!$A$1:$JF$21,MATCH(_xlfn.XLOOKUP($B6,Helpers!$C$4:$C$26,Helpers!$B$4:$B$26,"",0),Team_Summary!$A:$A,0),MATCH("Team_Goalkeeping_Save%.1",Team_Summary!$1:$1,0))</f>
        <v/>
      </c>
      <c r="BR6" s="30">
        <f>IF(COUNTIF(BQ$4:BQ$23,BQ6)&gt;1,"T"&amp;_xlfn.RANK.EQ(BQ6,BQ$4:BQ$23,0),_xlfn.RANK.EQ(BQ6,BQ$4:BQ$23,0))</f>
        <v/>
      </c>
      <c r="BS6">
        <f>INDEX(Team_Summary!$A$1:$JF$21,MATCH(_xlfn.XLOOKUP($B6,Helpers!$C$4:$C$26,Helpers!$B$4:$B$26,"",0),Team_Summary!$A:$A,0),MATCH("Team_Advanced_Goalkeeping_FK",Team_Summary!$1:$1,0))</f>
        <v/>
      </c>
      <c r="BT6" s="30">
        <f>IF(COUNTIF(BS$4:BS$23,BS6)&gt;1,"T"&amp;_xlfn.RANK.EQ(BS6,BS$4:BS$23,1),_xlfn.RANK.EQ(BS6,BS$4:BS$23,1))</f>
        <v/>
      </c>
      <c r="BU6">
        <f>INDEX(Team_Summary!$A$1:$JF$21,MATCH(_xlfn.XLOOKUP($B6,Helpers!$C$4:$C$26,Helpers!$B$4:$B$26,"",0),Team_Summary!$A:$A,0),MATCH("Team_Advanced_Goalkeeping_CK",Team_Summary!$1:$1,0))</f>
        <v/>
      </c>
      <c r="BV6" s="30">
        <f>IF(COUNTIF(BU$4:BU$23,BU6)&gt;1,"T"&amp;_xlfn.RANK.EQ(BU6,BU$4:BU$23,1),_xlfn.RANK.EQ(BU6,BU$4:BU$23,1))</f>
        <v/>
      </c>
      <c r="BW6">
        <f>INDEX(Team_Summary!$A$1:$JF$21,MATCH(_xlfn.XLOOKUP($B6,Helpers!$C$4:$C$26,Helpers!$B$4:$B$26,"",0),Team_Summary!$A:$A,0),MATCH("Team_Advanced_Goalkeeping_Stp%",Team_Summary!$1:$1,0))</f>
        <v/>
      </c>
      <c r="BX6" s="30">
        <f>IF(COUNTIF(BW$4:BW$23,BW6)&gt;1,"T"&amp;_xlfn.RANK.EQ(BW6,BW$4:BW$23,0),_xlfn.RANK.EQ(BW6,BW$4:BW$23,0))</f>
        <v/>
      </c>
      <c r="BY6">
        <f>INDEX(Team_Summary!$A$1:$JF$21,MATCH(_xlfn.XLOOKUP($B6,Helpers!$C$4:$C$26,Helpers!$B$4:$B$26,"",0),Team_Summary!$A:$A,0),MATCH("Team_Shooting_G/SoT",Team_Summary!$1:$1,0))</f>
        <v/>
      </c>
      <c r="BZ6" s="30">
        <f>IF(COUNTIF(BY$4:BY$23,BY6)&gt;1,"T"&amp;_xlfn.RANK.EQ(BY6,BY$4:BY$23,0),_xlfn.RANK.EQ(BY6,BY$4:BY$23,0))</f>
        <v/>
      </c>
      <c r="CA6">
        <f>INDEX(Team_Summary!$A$1:$JF$21,MATCH(_xlfn.XLOOKUP($B6,Helpers!$C$4:$C$26,Helpers!$B$4:$B$26,"",0),Team_Summary!$A:$A,0),MATCH("Team_Shooting_G/Sh",Team_Summary!$1:$1,0))</f>
        <v/>
      </c>
      <c r="CB6" s="30">
        <f>IF(COUNTIF(CA$4:CA$23,CA6)&gt;1,"T"&amp;_xlfn.RANK.EQ(CA6,CA$4:CA$23,0),_xlfn.RANK.EQ(CA6,CA$4:CA$23,0))</f>
        <v/>
      </c>
      <c r="CC6">
        <f>INDEX(Team_Summary!$A$1:$JF$21,MATCH(_xlfn.XLOOKUP($B6,Helpers!$C$4:$C$26,Helpers!$B$4:$B$26,"",0),Team_Summary!$A:$A,0),MATCH("Team_Shooting_SoT",Team_Summary!$1:$1,0))/INDEX(Team_Summary!$A$1:$JF$21,MATCH(_xlfn.XLOOKUP($B6,Helpers!$C$4:$C$26,Helpers!$B$4:$B$26,"",0),Team_Summary!$A:$A,0),MATCH("Team_League Table_Overall_MP",Team_Summary!$1:$1,0))</f>
        <v/>
      </c>
      <c r="CD6" s="30">
        <f>IF(COUNTIF(CC$4:CC$23,CC6)&gt;1,"T"&amp;_xlfn.RANK.EQ(CC6,CC$4:CC$23,0),_xlfn.RANK.EQ(CC6,CC$4:CC$23,0))</f>
        <v/>
      </c>
      <c r="CE6">
        <f>INDEX(Team_Summary!$A$1:$JF$21,MATCH(_xlfn.XLOOKUP($B6,Helpers!$C$4:$C$26,Helpers!$B$4:$B$26,"",0),Team_Summary!$A:$A,0),MATCH("Team_Shooting_SoT%",Team_Summary!$1:$1,0))</f>
        <v/>
      </c>
      <c r="CF6" s="30">
        <f>IF(COUNTIF(CE$4:CE$23,CE6)&gt;1,"T"&amp;_xlfn.RANK.EQ(CE6,CE$4:CE$23,0),_xlfn.RANK.EQ(CE6,CE$4:CE$23,0))</f>
        <v/>
      </c>
      <c r="CG6">
        <f>INDEX(Team_Summary!$A$1:$JF$21,MATCH(_xlfn.XLOOKUP($B6,Helpers!$C$4:$C$26,Helpers!$B$4:$B$26,"",0),Team_Summary!$A:$A,0),MATCH("Team_Pass_Types_CK",Team_Summary!$1:$1,0))/INDEX(Team_Summary!$A$1:$JF$21,MATCH(_xlfn.XLOOKUP($B6,Helpers!$C$4:$C$26,Helpers!$B$4:$B$26,"",0),Team_Summary!$A:$A,0),MATCH("Team_League Table_Overall_MP",Team_Summary!$1:$1,0))</f>
        <v/>
      </c>
      <c r="CH6" s="30">
        <f>IF(COUNTIF(CG$4:CG$23,CG6)&gt;1,"T"&amp;_xlfn.RANK.EQ(CG6,CG$4:CG$23,0),_xlfn.RANK.EQ(CG6,CG$4:CG$23,0))</f>
        <v/>
      </c>
      <c r="CI6">
        <f>INDEX(Team_Summary!$A$1:$JF$21,MATCH(_xlfn.XLOOKUP($B6,Helpers!$C$4:$C$26,Helpers!$B$4:$B$26,"",0),Team_Summary!$A:$A,0),MATCH("Team_Miscellaneous_Stats_TklW",Team_Summary!$1:$1,0))/INDEX(Team_Summary!$A$1:$JF$21,MATCH(_xlfn.XLOOKUP($B6,Helpers!$C$4:$C$26,Helpers!$B$4:$B$26,"",0),Team_Summary!$A:$A,0),MATCH("Team_League Table_Overall_MP",Team_Summary!$1:$1,0))</f>
        <v/>
      </c>
      <c r="CJ6" s="30">
        <f>IF(COUNTIF(CI$4:CI$23,CI6)&gt;1,"T"&amp;_xlfn.RANK.EQ(CI6,CI$4:CI$23,0),_xlfn.RANK.EQ(CI6,CI$4:CI$23,0))</f>
        <v/>
      </c>
      <c r="CK6">
        <f>INDEX(Team_Summary!$A$1:$JF$21,MATCH(_xlfn.XLOOKUP($B6,Helpers!$C$4:$C$26,Helpers!$B$4:$B$26,"",0),Team_Summary!$A:$A,0),MATCH("Team_Defensive_Actions_Sh",Team_Summary!$1:$1,0))/INDEX(Team_Summary!$A$1:$JF$21,MATCH(_xlfn.XLOOKUP($B6,Helpers!$C$4:$C$26,Helpers!$B$4:$B$26,"",0),Team_Summary!$A:$A,0),MATCH("Team_League Table_Overall_MP",Team_Summary!$1:$1,0))</f>
        <v/>
      </c>
      <c r="CL6" s="30">
        <f>IF(COUNTIF(CK$4:CK$23,CK6)&gt;1,"T"&amp;_xlfn.RANK.EQ(CK6,CK$4:CK$23,0),_xlfn.RANK.EQ(CK6,CK$4:CK$23,0))</f>
        <v/>
      </c>
      <c r="CM6">
        <f>INDEX(Team_Summary!$A$1:$JF$21,MATCH(_xlfn.XLOOKUP($B6,Helpers!$C$4:$C$26,Helpers!$B$4:$B$26,"",0),Team_Summary!$A:$A,0),MATCH("Team_Defensive_Actions_Int",Team_Summary!$1:$1,0))/INDEX(Team_Summary!$A$1:$JF$21,MATCH(_xlfn.XLOOKUP($B6,Helpers!$C$4:$C$26,Helpers!$B$4:$B$26,"",0),Team_Summary!$A:$A,0),MATCH("Team_League Table_Overall_MP",Team_Summary!$1:$1,0))</f>
        <v/>
      </c>
      <c r="CN6" s="30">
        <f>IF(COUNTIF(CM$4:CM$23,CM6)&gt;1,"T"&amp;_xlfn.RANK.EQ(CM6,CM$4:CM$23,0),_xlfn.RANK.EQ(CM6,CM$4:CM$23,0))</f>
        <v/>
      </c>
      <c r="CO6">
        <f>INDEX(Team_Summary!$A$1:$JF$21,MATCH(_xlfn.XLOOKUP($B6,Helpers!$C$4:$C$26,Helpers!$B$4:$B$26,"",0),Team_Summary!$A:$A,0),MATCH("Team_Possession_Poss",Team_Summary!$1:$1,0))</f>
        <v/>
      </c>
      <c r="CP6" s="30">
        <f>IF(COUNTIF(CO$4:CO$23,CO6)&gt;1,"T"&amp;_xlfn.RANK.EQ(CO6,CO$4:CO$23,0),_xlfn.RANK.EQ(CO6,CO$4:CO$23,0))</f>
        <v/>
      </c>
      <c r="CQ6">
        <f>INDEX(Team_Summary!$A$1:$JF$21,MATCH(_xlfn.XLOOKUP($B6,Helpers!$C$4:$C$26,Helpers!$B$4:$B$26,"",0),Team_Summary!$A:$A,0),MATCH("Team_Possession_Def Pen",Team_Summary!$1:$1,0))/INDEX(Team_Summary!$A$1:$JF$21,MATCH(_xlfn.XLOOKUP($B6,Helpers!$C$4:$C$26,Helpers!$B$4:$B$26,"",0),Team_Summary!$A:$A,0),MATCH("Team_League Table_Overall_MP",Team_Summary!$1:$1,0))</f>
        <v/>
      </c>
      <c r="CR6" s="30">
        <f>IF(COUNTIF(CQ$4:CQ$23,CQ6)&gt;1,"T"&amp;_xlfn.RANK.EQ(CQ6,CQ$4:CQ$23,0),_xlfn.RANK.EQ(CQ6,CQ$4:CQ$23,0))</f>
        <v/>
      </c>
      <c r="CS6">
        <f>INDEX(Team_Summary!$A$1:$JF$21,MATCH(_xlfn.XLOOKUP($B6,Helpers!$C$4:$C$26,Helpers!$B$4:$B$26,"",0),Team_Summary!$A:$A,0),MATCH("Team_Possession_Def 3rd",Team_Summary!$1:$1,0))/INDEX(Team_Summary!$A$1:$JF$21,MATCH(_xlfn.XLOOKUP($B6,Helpers!$C$4:$C$26,Helpers!$B$4:$B$26,"",0),Team_Summary!$A:$A,0),MATCH("Team_League Table_Overall_MP",Team_Summary!$1:$1,0))</f>
        <v/>
      </c>
      <c r="CT6" s="30">
        <f>IF(COUNTIF(CS$4:CS$23,CS6)&gt;1,"T"&amp;_xlfn.RANK.EQ(CS6,CS$4:CS$23,0),_xlfn.RANK.EQ(CS6,CS$4:CS$23,0))</f>
        <v/>
      </c>
      <c r="CU6">
        <f>INDEX(Team_Summary!$A$1:$JF$21,MATCH(_xlfn.XLOOKUP($B6,Helpers!$C$4:$C$26,Helpers!$B$4:$B$26,"",0),Team_Summary!$A:$A,0),MATCH("Team_Possession_Mid 3rd",Team_Summary!$1:$1,0))/INDEX(Team_Summary!$A$1:$JF$21,MATCH(_xlfn.XLOOKUP($B6,Helpers!$C$4:$C$26,Helpers!$B$4:$B$26,"",0),Team_Summary!$A:$A,0),MATCH("Team_League Table_Overall_MP",Team_Summary!$1:$1,0))</f>
        <v/>
      </c>
      <c r="CV6" s="30">
        <f>IF(COUNTIF(CU$4:CU$23,CU6)&gt;1,"T"&amp;_xlfn.RANK.EQ(CU6,CU$4:CU$23,0),_xlfn.RANK.EQ(CU6,CU$4:CU$23,0))</f>
        <v/>
      </c>
      <c r="CW6">
        <f>INDEX(Team_Summary!$A$1:$JF$21,MATCH(_xlfn.XLOOKUP($B6,Helpers!$C$4:$C$26,Helpers!$B$4:$B$26,"",0),Team_Summary!$A:$A,0),MATCH("Team_Possession_Att 3rd",Team_Summary!$1:$1,0))/INDEX(Team_Summary!$A$1:$JF$21,MATCH(_xlfn.XLOOKUP($B6,Helpers!$C$4:$C$26,Helpers!$B$4:$B$26,"",0),Team_Summary!$A:$A,0),MATCH("Team_League Table_Overall_MP",Team_Summary!$1:$1,0))</f>
        <v/>
      </c>
      <c r="CX6" s="30">
        <f>IF(COUNTIF(CW$4:CW$23,CW6)&gt;1,"T"&amp;_xlfn.RANK.EQ(CW6,CW$4:CW$23,0),_xlfn.RANK.EQ(CW6,CW$4:CW$23,0))</f>
        <v/>
      </c>
      <c r="CY6">
        <f>INDEX(Team_Summary!$A$1:$JF$21,MATCH(_xlfn.XLOOKUP($B6,Helpers!$C$4:$C$26,Helpers!$B$4:$B$26,"",0),Team_Summary!$A:$A,0),MATCH("Team_Possession_Att Pen",Team_Summary!$1:$1,0))/INDEX(Team_Summary!$A$1:$JF$21,MATCH(_xlfn.XLOOKUP($B6,Helpers!$C$4:$C$26,Helpers!$B$4:$B$26,"",0),Team_Summary!$A:$A,0),MATCH("Team_League Table_Overall_MP",Team_Summary!$1:$1,0))</f>
        <v/>
      </c>
      <c r="CZ6" s="30">
        <f>IF(COUNTIF(CY$4:CY$23,CY6)&gt;1,"T"&amp;_xlfn.RANK.EQ(CY6,CY$4:CY$23,0),_xlfn.RANK.EQ(CY6,CY$4:CY$23,0))</f>
        <v/>
      </c>
      <c r="DA6">
        <f>INDEX(Team_Summary!$A$1:$JF$21,MATCH(_xlfn.XLOOKUP($B6,Helpers!$C$4:$C$26,Helpers!$B$4:$B$26,"",0),Team_Summary!$A:$A,0),MATCH("Team_Miscellaneous_Stats_Fls",Team_Summary!$1:$1,0))/INDEX(Team_Summary!$A$1:$JF$21,MATCH(_xlfn.XLOOKUP($B6,Helpers!$C$4:$C$26,Helpers!$B$4:$B$26,"",0),Team_Summary!$A:$A,0),MATCH("Team_League Table_Overall_MP",Team_Summary!$1:$1,0))</f>
        <v/>
      </c>
      <c r="DB6" s="30">
        <f>IF(COUNTIF(DA$4:DA$23,DA6)&gt;1,"T"&amp;_xlfn.RANK.EQ(DA6,DA$4:DA$23,1),_xlfn.RANK.EQ(DA6,DA$4:DA$23,1))</f>
        <v/>
      </c>
      <c r="DC6">
        <f>INDEX(Team_Summary!$A$1:$JF$21,MATCH(_xlfn.XLOOKUP($B6,Helpers!$C$4:$C$26,Helpers!$B$4:$B$26,"",0),Team_Summary!$A:$A,0),MATCH("Team_Miscellaneous_Stats_Fld",Team_Summary!$1:$1,0))/INDEX(Team_Summary!$A$1:$JF$21,MATCH(_xlfn.XLOOKUP($B6,Helpers!$C$4:$C$26,Helpers!$B$4:$B$26,"",0),Team_Summary!$A:$A,0),MATCH("Team_League Table_Overall_MP",Team_Summary!$1:$1,0))</f>
        <v/>
      </c>
      <c r="DD6" s="30">
        <f>IF(COUNTIF(DC$4:DC$23,DC6)&gt;1,"T"&amp;_xlfn.RANK.EQ(DC6,DC$4:DC$23,0),_xlfn.RANK.EQ(DC6,DC$4:DC$23,0))</f>
        <v/>
      </c>
      <c r="DE6">
        <f>INDEX(Team_Summary!$A$1:$JF$21,MATCH(_xlfn.XLOOKUP($B6,Helpers!$C$4:$C$26,Helpers!$B$4:$B$26,"",0),Team_Summary!$A:$A,0),MATCH("Team_Miscellaneous_Stats_Won",Team_Summary!$1:$1,0))/INDEX(Team_Summary!$A$1:$JF$21,MATCH(_xlfn.XLOOKUP($B6,Helpers!$C$4:$C$26,Helpers!$B$4:$B$26,"",0),Team_Summary!$A:$A,0),MATCH("Team_League Table_Overall_MP",Team_Summary!$1:$1,0))</f>
        <v/>
      </c>
      <c r="DF6" s="30">
        <f>IF(COUNTIF(DE$4:DE$23,DE6)&gt;1,"T"&amp;_xlfn.RANK.EQ(DE6,DE$4:DE$23,0),_xlfn.RANK.EQ(DE6,DE$4:DE$23,0))</f>
        <v/>
      </c>
      <c r="DG6">
        <f>INDEX(Team_Summary!$A$1:$JF$21,MATCH(_xlfn.XLOOKUP($B6,Helpers!$C$4:$C$26,Helpers!$B$4:$B$26,"",0),Team_Summary!$A:$A,0),MATCH("Team_Miscellaneous_Stats_Pkwon",Team_Summary!$1:$1,0))</f>
        <v/>
      </c>
      <c r="DH6" s="30">
        <f>IF(COUNTIF(DG$4:DG$23,DG6)&gt;1,"T"&amp;_xlfn.RANK.EQ(DG6,DG$4:DG$23,0),_xlfn.RANK.EQ(DG6,DG$4:DG$23,0))</f>
        <v/>
      </c>
      <c r="DI6">
        <f>INDEX(Team_Summary!$A$1:$JF$21,MATCH(_xlfn.XLOOKUP($B6,Helpers!$C$4:$C$26,Helpers!$B$4:$B$26,"",0),Team_Summary!$A:$A,0),MATCH("Team_Miscellaneous_Stats_Pkcon",Team_Summary!$1:$1,0))</f>
        <v/>
      </c>
      <c r="DJ6" s="30">
        <f>IF(COUNTIF(DI$4:DI$23,DI6)&gt;1,"T"&amp;_xlfn.RANK.EQ(DI6,DI$4:DI$23,1),_xlfn.RANK.EQ(DI6,DI$4:DI$23,1))</f>
        <v/>
      </c>
      <c r="DK6">
        <f>INDEX(Team_Summary!$A$1:$JF$21,MATCH(_xlfn.XLOOKUP($B6,Helpers!$C$4:$C$26,Helpers!$B$4:$B$26,"",0),Team_Summary!$A:$A,0),MATCH("Team_Playing_Time_Age",Team_Summary!$1:$1,0))</f>
        <v/>
      </c>
      <c r="DL6" s="30">
        <f>IF(COUNTIF(DK$4:DK$23,DK6)&gt;1,"T"&amp;_xlfn.RANK.EQ(DK6,DK$4:DK$23,1),_xlfn.RANK.EQ(DK6,DK$4:DK$23,1))</f>
        <v/>
      </c>
    </row>
    <row r="7">
      <c r="B7" t="inlineStr">
        <is>
          <t>BRE</t>
        </is>
      </c>
      <c r="C7">
        <f>INDEX(Team_Summary!$A$1:$JF$21,MATCH(_xlfn.XLOOKUP($B7,Helpers!$C$4:$C$26,Helpers!$B$4:$B$26,"",0),Team_Summary!$A:$A,0),MATCH("Team_League Table_Overall_GF",Team_Summary!$1:$1,0))</f>
        <v/>
      </c>
      <c r="D7" s="30">
        <f>IF(COUNTIF(C$4:C$23,C7)&gt;1,"T"&amp;_xlfn.RANK.EQ(C7,C$4:C$23,0),_xlfn.RANK.EQ(C7,C$4:C$23,0))</f>
        <v/>
      </c>
      <c r="E7">
        <f>INDEX(Team_Summary!$A$1:$JF$21,MATCH(_xlfn.XLOOKUP($B7,Helpers!$C$4:$C$26,Helpers!$B$4:$B$26,"",0),Team_Summary!$A:$A,0),MATCH("Team_League Table_Overall_GA",Team_Summary!$1:$1,0))</f>
        <v/>
      </c>
      <c r="F7" s="30">
        <f>IF(COUNTIF(E$4:E$23,E7)&gt;1,"T"&amp;_xlfn.RANK.EQ(E7,E$4:E$23,1),_xlfn.RANK.EQ(E7,E$4:E$23,1))</f>
        <v/>
      </c>
      <c r="G7">
        <f>INDEX(Team_Summary!$A$1:$JF$21,MATCH(_xlfn.XLOOKUP($B7,Helpers!$C$4:$C$26,Helpers!$B$4:$B$26,"",0),Team_Summary!$A:$A,0),MATCH("Team_League Table_Overall_GD",Team_Summary!$1:$1,0))</f>
        <v/>
      </c>
      <c r="H7" s="30">
        <f>IF(COUNTIF(G$4:G$23,G7)&gt;1,"T"&amp;_xlfn.RANK.EQ(G7,G$4:G$23,0),_xlfn.RANK.EQ(G7,G$4:G$23,0))</f>
        <v/>
      </c>
      <c r="I7" s="27">
        <f>G7/INDEX(Team_Summary!$A$1:$JF$21,MATCH(_xlfn.XLOOKUP($B7,Helpers!$C$4:$C$26,Helpers!$B$4:$B$26,"",0),Team_Summary!$A:$A,0),MATCH("Team_League Table_Overall_MP",Team_Summary!$1:$1,0))</f>
        <v/>
      </c>
      <c r="J7" s="30">
        <f>IF(COUNTIF(I$4:I$23,I7)&gt;1,"T"&amp;_xlfn.RANK.EQ(I7,I$4:I$23,0),_xlfn.RANK.EQ(I7,I$4:I$23,0))</f>
        <v/>
      </c>
      <c r="K7">
        <f>INDEX(Team_Summary!$A$1:$JF$21,MATCH(_xlfn.XLOOKUP($B7,Helpers!$C$4:$C$26,Helpers!$B$4:$B$26,"",0),Team_Summary!$A:$A,0),MATCH("Team_League Table_Home_W",Team_Summary!$1:$1,0))</f>
        <v/>
      </c>
      <c r="L7" s="30">
        <f>IF(COUNTIF(K$4:K$23,K7)&gt;1,"T"&amp;_xlfn.RANK.EQ(K7,K$4:K$23,0),_xlfn.RANK.EQ(K7,K$4:K$23,0))</f>
        <v/>
      </c>
      <c r="M7">
        <f>INDEX(Team_Summary!$A$1:$JF$21,MATCH(_xlfn.XLOOKUP($B7,Helpers!$C$4:$C$26,Helpers!$B$4:$B$26,"",0),Team_Summary!$A:$A,0),MATCH("Team_League Table_Away_W",Team_Summary!$1:$1,0))</f>
        <v/>
      </c>
      <c r="N7" s="30">
        <f>IF(COUNTIF(M$4:M$23,M7)&gt;1,"T"&amp;_xlfn.RANK.EQ(M7,M$4:M$23,0),_xlfn.RANK.EQ(M7,M$4:M$23,0))</f>
        <v/>
      </c>
      <c r="O7">
        <f>INDEX(Team_Summary!$A$1:$JF$21,MATCH(_xlfn.XLOOKUP($B7,Helpers!$C$4:$C$26,Helpers!$B$4:$B$26,"",0),Team_Summary!$A:$A,0),MATCH("Team_League Table_Home_D",Team_Summary!$1:$1,0))</f>
        <v/>
      </c>
      <c r="P7" s="30">
        <f>IF(COUNTIF(O$4:O$23,O7)&gt;1,"T"&amp;_xlfn.RANK.EQ(O7,O$4:O$23,1),_xlfn.RANK.EQ(O7,O$4:O$23,1))</f>
        <v/>
      </c>
      <c r="Q7">
        <f>INDEX(Team_Summary!$A$1:$JF$21,MATCH(_xlfn.XLOOKUP($B7,Helpers!$C$4:$C$26,Helpers!$B$4:$B$26,"",0),Team_Summary!$A:$A,0),MATCH("Team_League Table_Away_D",Team_Summary!$1:$1,0))</f>
        <v/>
      </c>
      <c r="R7" s="30">
        <f>IF(COUNTIF(Q$4:Q$23,Q7)&gt;1,"T"&amp;_xlfn.RANK.EQ(Q7,Q$4:Q$23,1),_xlfn.RANK.EQ(Q7,Q$4:Q$23,1))</f>
        <v/>
      </c>
      <c r="S7">
        <f>INDEX(Team_Summary!$A$1:$JF$21,MATCH(_xlfn.XLOOKUP($B7,Helpers!$C$4:$C$26,Helpers!$B$4:$B$26,"",0),Team_Summary!$A:$A,0),MATCH("Team_League Table_Home_L",Team_Summary!$1:$1,0))</f>
        <v/>
      </c>
      <c r="T7" s="30">
        <f>IF(COUNTIF(S$4:S$23,S7)&gt;1,"T"&amp;_xlfn.RANK.EQ(S7,S$4:S$23,1),_xlfn.RANK.EQ(S7,S$4:S$23,1))</f>
        <v/>
      </c>
      <c r="U7">
        <f>INDEX(Team_Summary!$A$1:$JF$21,MATCH(_xlfn.XLOOKUP($B7,Helpers!$C$4:$C$26,Helpers!$B$4:$B$26,"",0),Team_Summary!$A:$A,0),MATCH("Team_League Table_Away_L",Team_Summary!$1:$1,0))</f>
        <v/>
      </c>
      <c r="V7" s="30">
        <f>IF(COUNTIF(U$4:U$23,U7)&gt;1,"T"&amp;_xlfn.RANK.EQ(U7,U$4:U$23,1),_xlfn.RANK.EQ(U7,U$4:U$23,1))</f>
        <v/>
      </c>
      <c r="W7">
        <f>INDEX(Team_Summary!$A$1:$JF$21,MATCH(_xlfn.XLOOKUP($B7,Helpers!$C$4:$C$26,Helpers!$B$4:$B$26,"",0),Team_Summary!$A:$A,0),MATCH("Team_League Table_Home_Pts",Team_Summary!$1:$1,0))</f>
        <v/>
      </c>
      <c r="X7" s="30">
        <f>IF(COUNTIF(W$4:W$23,W7)&gt;1,"T"&amp;_xlfn.RANK.EQ(W7,W$4:W$23,0),_xlfn.RANK.EQ(W7,W$4:W$23,0))</f>
        <v/>
      </c>
      <c r="Y7">
        <f>INDEX(Team_Summary!$A$1:$JF$21,MATCH(_xlfn.XLOOKUP($B7,Helpers!$C$4:$C$26,Helpers!$B$4:$B$26,"",0),Team_Summary!$A:$A,0),MATCH("Team_League Table_Away_Pts",Team_Summary!$1:$1,0))</f>
        <v/>
      </c>
      <c r="Z7" s="30">
        <f>IF(COUNTIF(Y$4:Y$23,Y7)&gt;1,"T"&amp;_xlfn.RANK.EQ(Y7,Y$4:Y$23,0),_xlfn.RANK.EQ(Y7,Y$4:Y$23,0))</f>
        <v/>
      </c>
      <c r="AA7">
        <f>INDEX(Team_Summary!$A$1:$JF$21,MATCH(_xlfn.XLOOKUP($B7,Helpers!$C$4:$C$26,Helpers!$B$4:$B$26,"",0),Team_Summary!$A:$A,0),MATCH("Team_League Table_Home_Pts/MP",Team_Summary!$1:$1,0))</f>
        <v/>
      </c>
      <c r="AB7" s="30">
        <f>IF(COUNTIF(AA$4:AA$23,AA7)&gt;1,"T"&amp;_xlfn.RANK.EQ(AA7,AA$4:AA$23,0),_xlfn.RANK.EQ(AA7,AA$4:AA$23,0))</f>
        <v/>
      </c>
      <c r="AC7">
        <f>INDEX(Team_Summary!$A$1:$JF$21,MATCH(_xlfn.XLOOKUP($B7,Helpers!$C$4:$C$26,Helpers!$B$4:$B$26,"",0),Team_Summary!$A:$A,0),MATCH("Team_League Table_Away_Pts/MP",Team_Summary!$1:$1,0))</f>
        <v/>
      </c>
      <c r="AD7" s="30">
        <f>IF(COUNTIF(AC$4:AC$23,AC7)&gt;1,"T"&amp;_xlfn.RANK.EQ(AC7,AC$4:AC$23,0),_xlfn.RANK.EQ(AC7,AC$4:AC$23,0))</f>
        <v/>
      </c>
      <c r="AE7">
        <f>INDEX(Team_Summary!$A$1:$JF$21,MATCH(_xlfn.XLOOKUP($B7,Helpers!$C$4:$C$26,Helpers!$B$4:$B$26,"",0),Team_Summary!$A:$A,0),MATCH("Team_League Table_Overall_Pts/MP",Team_Summary!$1:$1,0))</f>
        <v/>
      </c>
      <c r="AF7" s="30">
        <f>IF(COUNTIF(AE$4:AE$23,AE7)&gt;1,"T"&amp;_xlfn.RANK.EQ(AE7,AE$4:AE$23,0),_xlfn.RANK.EQ(AE7,AE$4:AE$23,0))</f>
        <v/>
      </c>
      <c r="AG7">
        <f>INDEX(Team_Summary!$A$1:$JF$21,MATCH(_xlfn.XLOOKUP($B7,Helpers!$C$4:$C$26,Helpers!$B$4:$B$26,"",0),Team_Summary!$A:$A,0),MATCH("Team_League Table_Home_GF",Team_Summary!$1:$1,0))</f>
        <v/>
      </c>
      <c r="AH7" s="30">
        <f>IF(COUNTIF(AG$4:AG$23,AG7)&gt;1,"T"&amp;_xlfn.RANK.EQ(AG7,AG$4:AG$23,0),_xlfn.RANK.EQ(AG7,AG$4:AG$23,0))</f>
        <v/>
      </c>
      <c r="AI7">
        <f>INDEX(Team_Summary!$A$1:$JF$21,MATCH(_xlfn.XLOOKUP($B7,Helpers!$C$4:$C$26,Helpers!$B$4:$B$26,"",0),Team_Summary!$A:$A,0),MATCH("Team_League Table_Away_GF",Team_Summary!$1:$1,0))</f>
        <v/>
      </c>
      <c r="AJ7" s="30">
        <f>IF(COUNTIF(AI$4:AI$23,AI7)&gt;1,"T"&amp;_xlfn.RANK.EQ(AI7,AI$4:AI$23,0),_xlfn.RANK.EQ(AI7,AI$4:AI$23,0))</f>
        <v/>
      </c>
      <c r="AK7">
        <f>INDEX(Team_Summary!$A$1:$JF$21,MATCH(_xlfn.XLOOKUP($B7,Helpers!$C$4:$C$26,Helpers!$B$4:$B$26,"",0),Team_Summary!$A:$A,0),MATCH("Team_League Table_Home_GA",Team_Summary!$1:$1,0))</f>
        <v/>
      </c>
      <c r="AL7" s="30">
        <f>IF(COUNTIF(AK$4:AK$23,AK7)&gt;1,"T"&amp;_xlfn.RANK.EQ(AK7,AK$4:AK$23,1),_xlfn.RANK.EQ(AK7,AK$4:AK$23,1))</f>
        <v/>
      </c>
      <c r="AM7">
        <f>INDEX(Team_Summary!$A$1:$JF$21,MATCH(_xlfn.XLOOKUP($B7,Helpers!$C$4:$C$26,Helpers!$B$4:$B$26,"",0),Team_Summary!$A:$A,0),MATCH("Team_League Table_Away_GA",Team_Summary!$1:$1,0))</f>
        <v/>
      </c>
      <c r="AN7" s="30">
        <f>IF(COUNTIF(AM$4:AM$23,AM7)&gt;1,"T"&amp;_xlfn.RANK.EQ(AM7,AM$4:AM$23,1),_xlfn.RANK.EQ(AM7,AM$4:AM$23,1))</f>
        <v/>
      </c>
      <c r="AO7">
        <f>INDEX(Team_Summary!$A$1:$JF$21,MATCH(_xlfn.XLOOKUP($B7,Helpers!$C$4:$C$26,Helpers!$B$4:$B$26,"",0),Team_Summary!$A:$A,0),MATCH("Team_League Table_Home_GD",Team_Summary!$1:$1,0))</f>
        <v/>
      </c>
      <c r="AP7" s="30">
        <f>IF(COUNTIF(AO$4:AO$23,AO7)&gt;1,"T"&amp;_xlfn.RANK.EQ(AO7,AO$4:AO$23,0),_xlfn.RANK.EQ(AO7,AO$4:AO$23,0))</f>
        <v/>
      </c>
      <c r="AQ7">
        <f>INDEX(Team_Summary!$A$1:$JF$21,MATCH(_xlfn.XLOOKUP($B7,Helpers!$C$4:$C$26,Helpers!$B$4:$B$26,"",0),Team_Summary!$A:$A,0),MATCH("Team_League Table_Away_GD",Team_Summary!$1:$1,0))</f>
        <v/>
      </c>
      <c r="AR7" s="30">
        <f>IF(COUNTIF(AQ$4:AQ$23,AQ7)&gt;1,"T"&amp;_xlfn.RANK.EQ(AQ7,AQ$4:AQ$23,0),_xlfn.RANK.EQ(AQ7,AQ$4:AQ$23,0))</f>
        <v/>
      </c>
      <c r="AS7">
        <f>INDEX(Team_Summary!$A$1:$JF$21,MATCH(_xlfn.XLOOKUP($B7,Helpers!$C$4:$C$26,Helpers!$B$4:$B$26,"",0),Team_Summary!$A:$A,0),MATCH("Team_Standard_Stats_Gls",Team_Summary!$1:$1,0))</f>
        <v/>
      </c>
      <c r="AT7" s="30">
        <f>IF(COUNTIF(AS$4:AS$23,AS7)&gt;1,"T"&amp;_xlfn.RANK.EQ(AS7,AS$4:AS$23,0),_xlfn.RANK.EQ(AS7,AS$4:AS$23,0))</f>
        <v/>
      </c>
      <c r="AU7" s="27">
        <f>C7/INDEX(Team_Summary!$A$1:$JF$21,MATCH(_xlfn.XLOOKUP($B7,Helpers!$C$4:$C$26,Helpers!$B$4:$B$26,"",0),Team_Summary!$A:$A,0),MATCH("Team_League Table_Overall_MP",Team_Summary!$1:$1,0))</f>
        <v/>
      </c>
      <c r="AV7" s="30">
        <f>IF(COUNTIF(AU$4:AU$23,AU7)&gt;1,"T"&amp;_xlfn.RANK.EQ(AU7,AU$4:AU$23,0),_xlfn.RANK.EQ(AU7,AU$4:AU$23,0))</f>
        <v/>
      </c>
      <c r="AW7">
        <f>INDEX(Team_Summary!$A$1:$JF$21,MATCH(_xlfn.XLOOKUP($B7,Helpers!$C$4:$C$26,Helpers!$B$4:$B$26,"",0),Team_Summary!$A:$A,0),MATCH("Team_Standard_Stats_G-PK",Team_Summary!$1:$1,0))</f>
        <v/>
      </c>
      <c r="AX7" s="30">
        <f>IF(COUNTIF(AW$4:AW$23,AW7)&gt;1,"T"&amp;_xlfn.RANK.EQ(AW7,AW$4:AW$23,0),_xlfn.RANK.EQ(AW7,AW$4:AW$23,0))</f>
        <v/>
      </c>
      <c r="AY7">
        <f>INDEX(Team_Summary!$A$1:$JF$21,MATCH(_xlfn.XLOOKUP($B7,Helpers!$C$4:$C$26,Helpers!$B$4:$B$26,"",0),Team_Summary!$A:$A,0),MATCH("Team_Standard_Stats_PK",Team_Summary!$1:$1,0))</f>
        <v/>
      </c>
      <c r="AZ7" s="30">
        <f>IF(COUNTIF(AY$4:AY$23,AY7)&gt;1,"T"&amp;_xlfn.RANK.EQ(AY7,AY$4:AY$23,0),_xlfn.RANK.EQ(AY7,AY$4:AY$23,0))</f>
        <v/>
      </c>
      <c r="BA7">
        <f>INDEX(Team_Summary!$A$1:$JF$21,MATCH(_xlfn.XLOOKUP($B7,Helpers!$C$4:$C$26,Helpers!$B$4:$B$26,"",0),Team_Summary!$A:$A,0),MATCH("Team_Standard_Stats_Ast.1",Team_Summary!$1:$1,0))</f>
        <v/>
      </c>
      <c r="BB7" s="30">
        <f>IF(COUNTIF(BA$4:BA$23,BA7)&gt;1,"T"&amp;_xlfn.RANK.EQ(BA7,BA$4:BA$23,0),_xlfn.RANK.EQ(BA7,BA$4:BA$23,0))</f>
        <v/>
      </c>
      <c r="BC7">
        <f>INDEX(Team_Summary!$A$1:$JF$21,MATCH(_xlfn.XLOOKUP($B7,Helpers!$C$4:$C$26,Helpers!$B$4:$B$26,"",0),Team_Summary!$A:$A,0),MATCH("Team_Standard_Stats_Ast",Team_Summary!$1:$1,0))</f>
        <v/>
      </c>
      <c r="BD7" s="30">
        <f>IF(COUNTIF(BC$4:BC$23,BC7)&gt;1,"T"&amp;_xlfn.RANK.EQ(BC7,BC$4:BC$23,0),_xlfn.RANK.EQ(BC7,BC$4:BC$23,0))</f>
        <v/>
      </c>
      <c r="BE7">
        <f>INDEX(Team_Summary!$A$1:$JF$21,MATCH(_xlfn.XLOOKUP($B7,Helpers!$C$4:$C$26,Helpers!$B$4:$B$26,"",0),Team_Summary!$A:$A,0),MATCH("Team_Miscellaneous_Stats_CrdY",Team_Summary!$1:$1,0))</f>
        <v/>
      </c>
      <c r="BF7" s="30">
        <f>IF(COUNTIF(BE$4:BE$23,BE7)&gt;1,"T"&amp;_xlfn.RANK.EQ(BE7,BE$4:BE$23,1),_xlfn.RANK.EQ(BE7,BE$4:BE$23,1))</f>
        <v/>
      </c>
      <c r="BG7" s="35">
        <f>BE7/INDEX(Team_Summary!$A$1:$JF$21,MATCH(_xlfn.XLOOKUP($B7,Helpers!$C$4:$C$26,Helpers!$B$4:$B$26,"",0),Team_Summary!$A:$A,0),MATCH("Team_League Table_Overall_MP",Team_Summary!$1:$1,0))</f>
        <v/>
      </c>
      <c r="BH7" s="30">
        <f>IF(COUNTIF(BG$4:BG$23,BG7)&gt;1,"T"&amp;_xlfn.RANK.EQ(BG7,BG$4:BG$23,1),_xlfn.RANK.EQ(BG7,BG$4:BG$23,1))</f>
        <v/>
      </c>
      <c r="BI7">
        <f>INDEX(Team_Summary!$A$1:$JF$21,MATCH(_xlfn.XLOOKUP($B7,Helpers!$C$4:$C$26,Helpers!$B$4:$B$26,"",0),Team_Summary!$A:$A,0),MATCH("Team_Miscellaneous_Stats_CrdR",Team_Summary!$1:$1,0))/INDEX(Team_Summary!$A$1:$JF$21,MATCH(_xlfn.XLOOKUP($B7,Helpers!$C$4:$C$26,Helpers!$B$4:$B$26,"",0),Team_Summary!$A:$A,0),MATCH("Team_League Table_Overall_MP",Team_Summary!$1:$1,0))</f>
        <v/>
      </c>
      <c r="BJ7" s="30">
        <f>IF(COUNTIF(BI$4:BI$23,BI7)&gt;1,"T"&amp;_xlfn.RANK.EQ(BI7,BI$4:BI$23,1),_xlfn.RANK.EQ(BI7,BI$4:BI$23,1))</f>
        <v/>
      </c>
      <c r="BK7">
        <f>INDEX(Team_Summary!$A$1:$JF$21,MATCH(_xlfn.XLOOKUP($B7,Helpers!$C$4:$C$26,Helpers!$B$4:$B$26,"",0),Team_Summary!$A:$A,0),MATCH("Team_Goalkeeping_SoTA",Team_Summary!$1:$1,0))/INDEX(Team_Summary!$A$1:$JF$21,MATCH(_xlfn.XLOOKUP($B7,Helpers!$C$4:$C$26,Helpers!$B$4:$B$26,"",0),Team_Summary!$A:$A,0),MATCH("Team_League Table_Overall_MP",Team_Summary!$1:$1,0))</f>
        <v/>
      </c>
      <c r="BL7" s="30">
        <f>IF(COUNTIF(BK$4:BK$23,BK7)&gt;1,"T"&amp;_xlfn.RANK.EQ(BK7,BK$4:BK$23,1),_xlfn.RANK.EQ(BK7,BK$4:BK$23,1))</f>
        <v/>
      </c>
      <c r="BM7">
        <f>INDEX(Team_Summary!$A$1:$JF$21,MATCH(_xlfn.XLOOKUP($B7,Helpers!$C$4:$C$26,Helpers!$B$4:$B$26,"",0),Team_Summary!$A:$A,0),MATCH("Team_Goalkeeping_Save%",Team_Summary!$1:$1,0))</f>
        <v/>
      </c>
      <c r="BN7" s="30">
        <f>IF(COUNTIF(BM$4:BM$23,BM7)&gt;1,"T"&amp;_xlfn.RANK.EQ(BM7,BM$4:BM$23,0),_xlfn.RANK.EQ(BM7,BM$4:BM$23,0))</f>
        <v/>
      </c>
      <c r="BO7">
        <f>INDEX(Team_Summary!$A$1:$JF$21,MATCH(_xlfn.XLOOKUP($B7,Helpers!$C$4:$C$26,Helpers!$B$4:$B$26,"",0),Team_Summary!$A:$A,0),MATCH("Team_Goalkeeping_CS%",Team_Summary!$1:$1,0))</f>
        <v/>
      </c>
      <c r="BP7" s="30">
        <f>IF(COUNTIF(BO$4:BO$23,BO7)&gt;1,"T"&amp;_xlfn.RANK.EQ(BO7,BO$4:BO$23,0),_xlfn.RANK.EQ(BO7,BO$4:BO$23,0))</f>
        <v/>
      </c>
      <c r="BQ7">
        <f>INDEX(Team_Summary!$A$1:$JF$21,MATCH(_xlfn.XLOOKUP($B7,Helpers!$C$4:$C$26,Helpers!$B$4:$B$26,"",0),Team_Summary!$A:$A,0),MATCH("Team_Goalkeeping_Save%.1",Team_Summary!$1:$1,0))</f>
        <v/>
      </c>
      <c r="BR7" s="30">
        <f>IF(COUNTIF(BQ$4:BQ$23,BQ7)&gt;1,"T"&amp;_xlfn.RANK.EQ(BQ7,BQ$4:BQ$23,0),_xlfn.RANK.EQ(BQ7,BQ$4:BQ$23,0))</f>
        <v/>
      </c>
      <c r="BS7">
        <f>INDEX(Team_Summary!$A$1:$JF$21,MATCH(_xlfn.XLOOKUP($B7,Helpers!$C$4:$C$26,Helpers!$B$4:$B$26,"",0),Team_Summary!$A:$A,0),MATCH("Team_Advanced_Goalkeeping_FK",Team_Summary!$1:$1,0))</f>
        <v/>
      </c>
      <c r="BT7" s="30">
        <f>IF(COUNTIF(BS$4:BS$23,BS7)&gt;1,"T"&amp;_xlfn.RANK.EQ(BS7,BS$4:BS$23,1),_xlfn.RANK.EQ(BS7,BS$4:BS$23,1))</f>
        <v/>
      </c>
      <c r="BU7">
        <f>INDEX(Team_Summary!$A$1:$JF$21,MATCH(_xlfn.XLOOKUP($B7,Helpers!$C$4:$C$26,Helpers!$B$4:$B$26,"",0),Team_Summary!$A:$A,0),MATCH("Team_Advanced_Goalkeeping_CK",Team_Summary!$1:$1,0))</f>
        <v/>
      </c>
      <c r="BV7" s="30">
        <f>IF(COUNTIF(BU$4:BU$23,BU7)&gt;1,"T"&amp;_xlfn.RANK.EQ(BU7,BU$4:BU$23,1),_xlfn.RANK.EQ(BU7,BU$4:BU$23,1))</f>
        <v/>
      </c>
      <c r="BW7">
        <f>INDEX(Team_Summary!$A$1:$JF$21,MATCH(_xlfn.XLOOKUP($B7,Helpers!$C$4:$C$26,Helpers!$B$4:$B$26,"",0),Team_Summary!$A:$A,0),MATCH("Team_Advanced_Goalkeeping_Stp%",Team_Summary!$1:$1,0))</f>
        <v/>
      </c>
      <c r="BX7" s="30">
        <f>IF(COUNTIF(BW$4:BW$23,BW7)&gt;1,"T"&amp;_xlfn.RANK.EQ(BW7,BW$4:BW$23,0),_xlfn.RANK.EQ(BW7,BW$4:BW$23,0))</f>
        <v/>
      </c>
      <c r="BY7">
        <f>INDEX(Team_Summary!$A$1:$JF$21,MATCH(_xlfn.XLOOKUP($B7,Helpers!$C$4:$C$26,Helpers!$B$4:$B$26,"",0),Team_Summary!$A:$A,0),MATCH("Team_Shooting_G/SoT",Team_Summary!$1:$1,0))</f>
        <v/>
      </c>
      <c r="BZ7" s="30">
        <f>IF(COUNTIF(BY$4:BY$23,BY7)&gt;1,"T"&amp;_xlfn.RANK.EQ(BY7,BY$4:BY$23,0),_xlfn.RANK.EQ(BY7,BY$4:BY$23,0))</f>
        <v/>
      </c>
      <c r="CA7">
        <f>INDEX(Team_Summary!$A$1:$JF$21,MATCH(_xlfn.XLOOKUP($B7,Helpers!$C$4:$C$26,Helpers!$B$4:$B$26,"",0),Team_Summary!$A:$A,0),MATCH("Team_Shooting_G/Sh",Team_Summary!$1:$1,0))</f>
        <v/>
      </c>
      <c r="CB7" s="30">
        <f>IF(COUNTIF(CA$4:CA$23,CA7)&gt;1,"T"&amp;_xlfn.RANK.EQ(CA7,CA$4:CA$23,0),_xlfn.RANK.EQ(CA7,CA$4:CA$23,0))</f>
        <v/>
      </c>
      <c r="CC7">
        <f>INDEX(Team_Summary!$A$1:$JF$21,MATCH(_xlfn.XLOOKUP($B7,Helpers!$C$4:$C$26,Helpers!$B$4:$B$26,"",0),Team_Summary!$A:$A,0),MATCH("Team_Shooting_SoT",Team_Summary!$1:$1,0))/INDEX(Team_Summary!$A$1:$JF$21,MATCH(_xlfn.XLOOKUP($B7,Helpers!$C$4:$C$26,Helpers!$B$4:$B$26,"",0),Team_Summary!$A:$A,0),MATCH("Team_League Table_Overall_MP",Team_Summary!$1:$1,0))</f>
        <v/>
      </c>
      <c r="CD7" s="30">
        <f>IF(COUNTIF(CC$4:CC$23,CC7)&gt;1,"T"&amp;_xlfn.RANK.EQ(CC7,CC$4:CC$23,0),_xlfn.RANK.EQ(CC7,CC$4:CC$23,0))</f>
        <v/>
      </c>
      <c r="CE7">
        <f>INDEX(Team_Summary!$A$1:$JF$21,MATCH(_xlfn.XLOOKUP($B7,Helpers!$C$4:$C$26,Helpers!$B$4:$B$26,"",0),Team_Summary!$A:$A,0),MATCH("Team_Shooting_SoT%",Team_Summary!$1:$1,0))</f>
        <v/>
      </c>
      <c r="CF7" s="30">
        <f>IF(COUNTIF(CE$4:CE$23,CE7)&gt;1,"T"&amp;_xlfn.RANK.EQ(CE7,CE$4:CE$23,0),_xlfn.RANK.EQ(CE7,CE$4:CE$23,0))</f>
        <v/>
      </c>
      <c r="CG7">
        <f>INDEX(Team_Summary!$A$1:$JF$21,MATCH(_xlfn.XLOOKUP($B7,Helpers!$C$4:$C$26,Helpers!$B$4:$B$26,"",0),Team_Summary!$A:$A,0),MATCH("Team_Pass_Types_CK",Team_Summary!$1:$1,0))/INDEX(Team_Summary!$A$1:$JF$21,MATCH(_xlfn.XLOOKUP($B7,Helpers!$C$4:$C$26,Helpers!$B$4:$B$26,"",0),Team_Summary!$A:$A,0),MATCH("Team_League Table_Overall_MP",Team_Summary!$1:$1,0))</f>
        <v/>
      </c>
      <c r="CH7" s="30">
        <f>IF(COUNTIF(CG$4:CG$23,CG7)&gt;1,"T"&amp;_xlfn.RANK.EQ(CG7,CG$4:CG$23,0),_xlfn.RANK.EQ(CG7,CG$4:CG$23,0))</f>
        <v/>
      </c>
      <c r="CI7">
        <f>INDEX(Team_Summary!$A$1:$JF$21,MATCH(_xlfn.XLOOKUP($B7,Helpers!$C$4:$C$26,Helpers!$B$4:$B$26,"",0),Team_Summary!$A:$A,0),MATCH("Team_Miscellaneous_Stats_TklW",Team_Summary!$1:$1,0))/INDEX(Team_Summary!$A$1:$JF$21,MATCH(_xlfn.XLOOKUP($B7,Helpers!$C$4:$C$26,Helpers!$B$4:$B$26,"",0),Team_Summary!$A:$A,0),MATCH("Team_League Table_Overall_MP",Team_Summary!$1:$1,0))</f>
        <v/>
      </c>
      <c r="CJ7" s="30">
        <f>IF(COUNTIF(CI$4:CI$23,CI7)&gt;1,"T"&amp;_xlfn.RANK.EQ(CI7,CI$4:CI$23,0),_xlfn.RANK.EQ(CI7,CI$4:CI$23,0))</f>
        <v/>
      </c>
      <c r="CK7">
        <f>INDEX(Team_Summary!$A$1:$JF$21,MATCH(_xlfn.XLOOKUP($B7,Helpers!$C$4:$C$26,Helpers!$B$4:$B$26,"",0),Team_Summary!$A:$A,0),MATCH("Team_Defensive_Actions_Sh",Team_Summary!$1:$1,0))/INDEX(Team_Summary!$A$1:$JF$21,MATCH(_xlfn.XLOOKUP($B7,Helpers!$C$4:$C$26,Helpers!$B$4:$B$26,"",0),Team_Summary!$A:$A,0),MATCH("Team_League Table_Overall_MP",Team_Summary!$1:$1,0))</f>
        <v/>
      </c>
      <c r="CL7" s="30">
        <f>IF(COUNTIF(CK$4:CK$23,CK7)&gt;1,"T"&amp;_xlfn.RANK.EQ(CK7,CK$4:CK$23,0),_xlfn.RANK.EQ(CK7,CK$4:CK$23,0))</f>
        <v/>
      </c>
      <c r="CM7">
        <f>INDEX(Team_Summary!$A$1:$JF$21,MATCH(_xlfn.XLOOKUP($B7,Helpers!$C$4:$C$26,Helpers!$B$4:$B$26,"",0),Team_Summary!$A:$A,0),MATCH("Team_Defensive_Actions_Int",Team_Summary!$1:$1,0))/INDEX(Team_Summary!$A$1:$JF$21,MATCH(_xlfn.XLOOKUP($B7,Helpers!$C$4:$C$26,Helpers!$B$4:$B$26,"",0),Team_Summary!$A:$A,0),MATCH("Team_League Table_Overall_MP",Team_Summary!$1:$1,0))</f>
        <v/>
      </c>
      <c r="CN7" s="30">
        <f>IF(COUNTIF(CM$4:CM$23,CM7)&gt;1,"T"&amp;_xlfn.RANK.EQ(CM7,CM$4:CM$23,0),_xlfn.RANK.EQ(CM7,CM$4:CM$23,0))</f>
        <v/>
      </c>
      <c r="CO7">
        <f>INDEX(Team_Summary!$A$1:$JF$21,MATCH(_xlfn.XLOOKUP($B7,Helpers!$C$4:$C$26,Helpers!$B$4:$B$26,"",0),Team_Summary!$A:$A,0),MATCH("Team_Possession_Poss",Team_Summary!$1:$1,0))</f>
        <v/>
      </c>
      <c r="CP7" s="30">
        <f>IF(COUNTIF(CO$4:CO$23,CO7)&gt;1,"T"&amp;_xlfn.RANK.EQ(CO7,CO$4:CO$23,0),_xlfn.RANK.EQ(CO7,CO$4:CO$23,0))</f>
        <v/>
      </c>
      <c r="CQ7">
        <f>INDEX(Team_Summary!$A$1:$JF$21,MATCH(_xlfn.XLOOKUP($B7,Helpers!$C$4:$C$26,Helpers!$B$4:$B$26,"",0),Team_Summary!$A:$A,0),MATCH("Team_Possession_Def Pen",Team_Summary!$1:$1,0))/INDEX(Team_Summary!$A$1:$JF$21,MATCH(_xlfn.XLOOKUP($B7,Helpers!$C$4:$C$26,Helpers!$B$4:$B$26,"",0),Team_Summary!$A:$A,0),MATCH("Team_League Table_Overall_MP",Team_Summary!$1:$1,0))</f>
        <v/>
      </c>
      <c r="CR7" s="30">
        <f>IF(COUNTIF(CQ$4:CQ$23,CQ7)&gt;1,"T"&amp;_xlfn.RANK.EQ(CQ7,CQ$4:CQ$23,0),_xlfn.RANK.EQ(CQ7,CQ$4:CQ$23,0))</f>
        <v/>
      </c>
      <c r="CS7">
        <f>INDEX(Team_Summary!$A$1:$JF$21,MATCH(_xlfn.XLOOKUP($B7,Helpers!$C$4:$C$26,Helpers!$B$4:$B$26,"",0),Team_Summary!$A:$A,0),MATCH("Team_Possession_Def 3rd",Team_Summary!$1:$1,0))/INDEX(Team_Summary!$A$1:$JF$21,MATCH(_xlfn.XLOOKUP($B7,Helpers!$C$4:$C$26,Helpers!$B$4:$B$26,"",0),Team_Summary!$A:$A,0),MATCH("Team_League Table_Overall_MP",Team_Summary!$1:$1,0))</f>
        <v/>
      </c>
      <c r="CT7" s="30">
        <f>IF(COUNTIF(CS$4:CS$23,CS7)&gt;1,"T"&amp;_xlfn.RANK.EQ(CS7,CS$4:CS$23,0),_xlfn.RANK.EQ(CS7,CS$4:CS$23,0))</f>
        <v/>
      </c>
      <c r="CU7">
        <f>INDEX(Team_Summary!$A$1:$JF$21,MATCH(_xlfn.XLOOKUP($B7,Helpers!$C$4:$C$26,Helpers!$B$4:$B$26,"",0),Team_Summary!$A:$A,0),MATCH("Team_Possession_Mid 3rd",Team_Summary!$1:$1,0))/INDEX(Team_Summary!$A$1:$JF$21,MATCH(_xlfn.XLOOKUP($B7,Helpers!$C$4:$C$26,Helpers!$B$4:$B$26,"",0),Team_Summary!$A:$A,0),MATCH("Team_League Table_Overall_MP",Team_Summary!$1:$1,0))</f>
        <v/>
      </c>
      <c r="CV7" s="30">
        <f>IF(COUNTIF(CU$4:CU$23,CU7)&gt;1,"T"&amp;_xlfn.RANK.EQ(CU7,CU$4:CU$23,0),_xlfn.RANK.EQ(CU7,CU$4:CU$23,0))</f>
        <v/>
      </c>
      <c r="CW7">
        <f>INDEX(Team_Summary!$A$1:$JF$21,MATCH(_xlfn.XLOOKUP($B7,Helpers!$C$4:$C$26,Helpers!$B$4:$B$26,"",0),Team_Summary!$A:$A,0),MATCH("Team_Possession_Att 3rd",Team_Summary!$1:$1,0))/INDEX(Team_Summary!$A$1:$JF$21,MATCH(_xlfn.XLOOKUP($B7,Helpers!$C$4:$C$26,Helpers!$B$4:$B$26,"",0),Team_Summary!$A:$A,0),MATCH("Team_League Table_Overall_MP",Team_Summary!$1:$1,0))</f>
        <v/>
      </c>
      <c r="CX7" s="30">
        <f>IF(COUNTIF(CW$4:CW$23,CW7)&gt;1,"T"&amp;_xlfn.RANK.EQ(CW7,CW$4:CW$23,0),_xlfn.RANK.EQ(CW7,CW$4:CW$23,0))</f>
        <v/>
      </c>
      <c r="CY7">
        <f>INDEX(Team_Summary!$A$1:$JF$21,MATCH(_xlfn.XLOOKUP($B7,Helpers!$C$4:$C$26,Helpers!$B$4:$B$26,"",0),Team_Summary!$A:$A,0),MATCH("Team_Possession_Att Pen",Team_Summary!$1:$1,0))/INDEX(Team_Summary!$A$1:$JF$21,MATCH(_xlfn.XLOOKUP($B7,Helpers!$C$4:$C$26,Helpers!$B$4:$B$26,"",0),Team_Summary!$A:$A,0),MATCH("Team_League Table_Overall_MP",Team_Summary!$1:$1,0))</f>
        <v/>
      </c>
      <c r="CZ7" s="30">
        <f>IF(COUNTIF(CY$4:CY$23,CY7)&gt;1,"T"&amp;_xlfn.RANK.EQ(CY7,CY$4:CY$23,0),_xlfn.RANK.EQ(CY7,CY$4:CY$23,0))</f>
        <v/>
      </c>
      <c r="DA7">
        <f>INDEX(Team_Summary!$A$1:$JF$21,MATCH(_xlfn.XLOOKUP($B7,Helpers!$C$4:$C$26,Helpers!$B$4:$B$26,"",0),Team_Summary!$A:$A,0),MATCH("Team_Miscellaneous_Stats_Fls",Team_Summary!$1:$1,0))/INDEX(Team_Summary!$A$1:$JF$21,MATCH(_xlfn.XLOOKUP($B7,Helpers!$C$4:$C$26,Helpers!$B$4:$B$26,"",0),Team_Summary!$A:$A,0),MATCH("Team_League Table_Overall_MP",Team_Summary!$1:$1,0))</f>
        <v/>
      </c>
      <c r="DB7" s="30">
        <f>IF(COUNTIF(DA$4:DA$23,DA7)&gt;1,"T"&amp;_xlfn.RANK.EQ(DA7,DA$4:DA$23,1),_xlfn.RANK.EQ(DA7,DA$4:DA$23,1))</f>
        <v/>
      </c>
      <c r="DC7">
        <f>INDEX(Team_Summary!$A$1:$JF$21,MATCH(_xlfn.XLOOKUP($B7,Helpers!$C$4:$C$26,Helpers!$B$4:$B$26,"",0),Team_Summary!$A:$A,0),MATCH("Team_Miscellaneous_Stats_Fld",Team_Summary!$1:$1,0))/INDEX(Team_Summary!$A$1:$JF$21,MATCH(_xlfn.XLOOKUP($B7,Helpers!$C$4:$C$26,Helpers!$B$4:$B$26,"",0),Team_Summary!$A:$A,0),MATCH("Team_League Table_Overall_MP",Team_Summary!$1:$1,0))</f>
        <v/>
      </c>
      <c r="DD7" s="30">
        <f>IF(COUNTIF(DC$4:DC$23,DC7)&gt;1,"T"&amp;_xlfn.RANK.EQ(DC7,DC$4:DC$23,0),_xlfn.RANK.EQ(DC7,DC$4:DC$23,0))</f>
        <v/>
      </c>
      <c r="DE7">
        <f>INDEX(Team_Summary!$A$1:$JF$21,MATCH(_xlfn.XLOOKUP($B7,Helpers!$C$4:$C$26,Helpers!$B$4:$B$26,"",0),Team_Summary!$A:$A,0),MATCH("Team_Miscellaneous_Stats_Won",Team_Summary!$1:$1,0))/INDEX(Team_Summary!$A$1:$JF$21,MATCH(_xlfn.XLOOKUP($B7,Helpers!$C$4:$C$26,Helpers!$B$4:$B$26,"",0),Team_Summary!$A:$A,0),MATCH("Team_League Table_Overall_MP",Team_Summary!$1:$1,0))</f>
        <v/>
      </c>
      <c r="DF7" s="30">
        <f>IF(COUNTIF(DE$4:DE$23,DE7)&gt;1,"T"&amp;_xlfn.RANK.EQ(DE7,DE$4:DE$23,0),_xlfn.RANK.EQ(DE7,DE$4:DE$23,0))</f>
        <v/>
      </c>
      <c r="DG7">
        <f>INDEX(Team_Summary!$A$1:$JF$21,MATCH(_xlfn.XLOOKUP($B7,Helpers!$C$4:$C$26,Helpers!$B$4:$B$26,"",0),Team_Summary!$A:$A,0),MATCH("Team_Miscellaneous_Stats_Pkwon",Team_Summary!$1:$1,0))</f>
        <v/>
      </c>
      <c r="DH7" s="30">
        <f>IF(COUNTIF(DG$4:DG$23,DG7)&gt;1,"T"&amp;_xlfn.RANK.EQ(DG7,DG$4:DG$23,0),_xlfn.RANK.EQ(DG7,DG$4:DG$23,0))</f>
        <v/>
      </c>
      <c r="DI7">
        <f>INDEX(Team_Summary!$A$1:$JF$21,MATCH(_xlfn.XLOOKUP($B7,Helpers!$C$4:$C$26,Helpers!$B$4:$B$26,"",0),Team_Summary!$A:$A,0),MATCH("Team_Miscellaneous_Stats_Pkcon",Team_Summary!$1:$1,0))</f>
        <v/>
      </c>
      <c r="DJ7" s="30">
        <f>IF(COUNTIF(DI$4:DI$23,DI7)&gt;1,"T"&amp;_xlfn.RANK.EQ(DI7,DI$4:DI$23,1),_xlfn.RANK.EQ(DI7,DI$4:DI$23,1))</f>
        <v/>
      </c>
      <c r="DK7">
        <f>INDEX(Team_Summary!$A$1:$JF$21,MATCH(_xlfn.XLOOKUP($B7,Helpers!$C$4:$C$26,Helpers!$B$4:$B$26,"",0),Team_Summary!$A:$A,0),MATCH("Team_Playing_Time_Age",Team_Summary!$1:$1,0))</f>
        <v/>
      </c>
      <c r="DL7" s="30">
        <f>IF(COUNTIF(DK$4:DK$23,DK7)&gt;1,"T"&amp;_xlfn.RANK.EQ(DK7,DK$4:DK$23,1),_xlfn.RANK.EQ(DK7,DK$4:DK$23,1))</f>
        <v/>
      </c>
    </row>
    <row r="8">
      <c r="B8" t="inlineStr">
        <is>
          <t>BHA</t>
        </is>
      </c>
      <c r="C8">
        <f>INDEX(Team_Summary!$A$1:$JF$21,MATCH(_xlfn.XLOOKUP($B8,Helpers!$C$4:$C$26,Helpers!$B$4:$B$26,"",0),Team_Summary!$A:$A,0),MATCH("Team_League Table_Overall_GF",Team_Summary!$1:$1,0))</f>
        <v/>
      </c>
      <c r="D8" s="30">
        <f>IF(COUNTIF(C$4:C$23,C8)&gt;1,"T"&amp;_xlfn.RANK.EQ(C8,C$4:C$23,0),_xlfn.RANK.EQ(C8,C$4:C$23,0))</f>
        <v/>
      </c>
      <c r="E8">
        <f>INDEX(Team_Summary!$A$1:$JF$21,MATCH(_xlfn.XLOOKUP($B8,Helpers!$C$4:$C$26,Helpers!$B$4:$B$26,"",0),Team_Summary!$A:$A,0),MATCH("Team_League Table_Overall_GA",Team_Summary!$1:$1,0))</f>
        <v/>
      </c>
      <c r="F8" s="30">
        <f>IF(COUNTIF(E$4:E$23,E8)&gt;1,"T"&amp;_xlfn.RANK.EQ(E8,E$4:E$23,1),_xlfn.RANK.EQ(E8,E$4:E$23,1))</f>
        <v/>
      </c>
      <c r="G8">
        <f>INDEX(Team_Summary!$A$1:$JF$21,MATCH(_xlfn.XLOOKUP($B8,Helpers!$C$4:$C$26,Helpers!$B$4:$B$26,"",0),Team_Summary!$A:$A,0),MATCH("Team_League Table_Overall_GD",Team_Summary!$1:$1,0))</f>
        <v/>
      </c>
      <c r="H8" s="30">
        <f>IF(COUNTIF(G$4:G$23,G8)&gt;1,"T"&amp;_xlfn.RANK.EQ(G8,G$4:G$23,0),_xlfn.RANK.EQ(G8,G$4:G$23,0))</f>
        <v/>
      </c>
      <c r="I8" s="27">
        <f>G8/INDEX(Team_Summary!$A$1:$JF$21,MATCH(_xlfn.XLOOKUP($B8,Helpers!$C$4:$C$26,Helpers!$B$4:$B$26,"",0),Team_Summary!$A:$A,0),MATCH("Team_League Table_Overall_MP",Team_Summary!$1:$1,0))</f>
        <v/>
      </c>
      <c r="J8" s="30">
        <f>IF(COUNTIF(I$4:I$23,I8)&gt;1,"T"&amp;_xlfn.RANK.EQ(I8,I$4:I$23,0),_xlfn.RANK.EQ(I8,I$4:I$23,0))</f>
        <v/>
      </c>
      <c r="K8">
        <f>INDEX(Team_Summary!$A$1:$JF$21,MATCH(_xlfn.XLOOKUP($B8,Helpers!$C$4:$C$26,Helpers!$B$4:$B$26,"",0),Team_Summary!$A:$A,0),MATCH("Team_League Table_Home_W",Team_Summary!$1:$1,0))</f>
        <v/>
      </c>
      <c r="L8" s="30">
        <f>IF(COUNTIF(K$4:K$23,K8)&gt;1,"T"&amp;_xlfn.RANK.EQ(K8,K$4:K$23,0),_xlfn.RANK.EQ(K8,K$4:K$23,0))</f>
        <v/>
      </c>
      <c r="M8">
        <f>INDEX(Team_Summary!$A$1:$JF$21,MATCH(_xlfn.XLOOKUP($B8,Helpers!$C$4:$C$26,Helpers!$B$4:$B$26,"",0),Team_Summary!$A:$A,0),MATCH("Team_League Table_Away_W",Team_Summary!$1:$1,0))</f>
        <v/>
      </c>
      <c r="N8" s="30">
        <f>IF(COUNTIF(M$4:M$23,M8)&gt;1,"T"&amp;_xlfn.RANK.EQ(M8,M$4:M$23,0),_xlfn.RANK.EQ(M8,M$4:M$23,0))</f>
        <v/>
      </c>
      <c r="O8">
        <f>INDEX(Team_Summary!$A$1:$JF$21,MATCH(_xlfn.XLOOKUP($B8,Helpers!$C$4:$C$26,Helpers!$B$4:$B$26,"",0),Team_Summary!$A:$A,0),MATCH("Team_League Table_Home_D",Team_Summary!$1:$1,0))</f>
        <v/>
      </c>
      <c r="P8" s="30">
        <f>IF(COUNTIF(O$4:O$23,O8)&gt;1,"T"&amp;_xlfn.RANK.EQ(O8,O$4:O$23,1),_xlfn.RANK.EQ(O8,O$4:O$23,1))</f>
        <v/>
      </c>
      <c r="Q8">
        <f>INDEX(Team_Summary!$A$1:$JF$21,MATCH(_xlfn.XLOOKUP($B8,Helpers!$C$4:$C$26,Helpers!$B$4:$B$26,"",0),Team_Summary!$A:$A,0),MATCH("Team_League Table_Away_D",Team_Summary!$1:$1,0))</f>
        <v/>
      </c>
      <c r="R8" s="30">
        <f>IF(COUNTIF(Q$4:Q$23,Q8)&gt;1,"T"&amp;_xlfn.RANK.EQ(Q8,Q$4:Q$23,1),_xlfn.RANK.EQ(Q8,Q$4:Q$23,1))</f>
        <v/>
      </c>
      <c r="S8">
        <f>INDEX(Team_Summary!$A$1:$JF$21,MATCH(_xlfn.XLOOKUP($B8,Helpers!$C$4:$C$26,Helpers!$B$4:$B$26,"",0),Team_Summary!$A:$A,0),MATCH("Team_League Table_Home_L",Team_Summary!$1:$1,0))</f>
        <v/>
      </c>
      <c r="T8" s="30">
        <f>IF(COUNTIF(S$4:S$23,S8)&gt;1,"T"&amp;_xlfn.RANK.EQ(S8,S$4:S$23,1),_xlfn.RANK.EQ(S8,S$4:S$23,1))</f>
        <v/>
      </c>
      <c r="U8">
        <f>INDEX(Team_Summary!$A$1:$JF$21,MATCH(_xlfn.XLOOKUP($B8,Helpers!$C$4:$C$26,Helpers!$B$4:$B$26,"",0),Team_Summary!$A:$A,0),MATCH("Team_League Table_Away_L",Team_Summary!$1:$1,0))</f>
        <v/>
      </c>
      <c r="V8" s="30">
        <f>IF(COUNTIF(U$4:U$23,U8)&gt;1,"T"&amp;_xlfn.RANK.EQ(U8,U$4:U$23,1),_xlfn.RANK.EQ(U8,U$4:U$23,1))</f>
        <v/>
      </c>
      <c r="W8">
        <f>INDEX(Team_Summary!$A$1:$JF$21,MATCH(_xlfn.XLOOKUP($B8,Helpers!$C$4:$C$26,Helpers!$B$4:$B$26,"",0),Team_Summary!$A:$A,0),MATCH("Team_League Table_Home_Pts",Team_Summary!$1:$1,0))</f>
        <v/>
      </c>
      <c r="X8" s="30">
        <f>IF(COUNTIF(W$4:W$23,W8)&gt;1,"T"&amp;_xlfn.RANK.EQ(W8,W$4:W$23,0),_xlfn.RANK.EQ(W8,W$4:W$23,0))</f>
        <v/>
      </c>
      <c r="Y8">
        <f>INDEX(Team_Summary!$A$1:$JF$21,MATCH(_xlfn.XLOOKUP($B8,Helpers!$C$4:$C$26,Helpers!$B$4:$B$26,"",0),Team_Summary!$A:$A,0),MATCH("Team_League Table_Away_Pts",Team_Summary!$1:$1,0))</f>
        <v/>
      </c>
      <c r="Z8" s="30">
        <f>IF(COUNTIF(Y$4:Y$23,Y8)&gt;1,"T"&amp;_xlfn.RANK.EQ(Y8,Y$4:Y$23,0),_xlfn.RANK.EQ(Y8,Y$4:Y$23,0))</f>
        <v/>
      </c>
      <c r="AA8">
        <f>INDEX(Team_Summary!$A$1:$JF$21,MATCH(_xlfn.XLOOKUP($B8,Helpers!$C$4:$C$26,Helpers!$B$4:$B$26,"",0),Team_Summary!$A:$A,0),MATCH("Team_League Table_Home_Pts/MP",Team_Summary!$1:$1,0))</f>
        <v/>
      </c>
      <c r="AB8" s="30">
        <f>IF(COUNTIF(AA$4:AA$23,AA8)&gt;1,"T"&amp;_xlfn.RANK.EQ(AA8,AA$4:AA$23,0),_xlfn.RANK.EQ(AA8,AA$4:AA$23,0))</f>
        <v/>
      </c>
      <c r="AC8">
        <f>INDEX(Team_Summary!$A$1:$JF$21,MATCH(_xlfn.XLOOKUP($B8,Helpers!$C$4:$C$26,Helpers!$B$4:$B$26,"",0),Team_Summary!$A:$A,0),MATCH("Team_League Table_Away_Pts/MP",Team_Summary!$1:$1,0))</f>
        <v/>
      </c>
      <c r="AD8" s="30">
        <f>IF(COUNTIF(AC$4:AC$23,AC8)&gt;1,"T"&amp;_xlfn.RANK.EQ(AC8,AC$4:AC$23,0),_xlfn.RANK.EQ(AC8,AC$4:AC$23,0))</f>
        <v/>
      </c>
      <c r="AE8">
        <f>INDEX(Team_Summary!$A$1:$JF$21,MATCH(_xlfn.XLOOKUP($B8,Helpers!$C$4:$C$26,Helpers!$B$4:$B$26,"",0),Team_Summary!$A:$A,0),MATCH("Team_League Table_Overall_Pts/MP",Team_Summary!$1:$1,0))</f>
        <v/>
      </c>
      <c r="AF8" s="30">
        <f>IF(COUNTIF(AE$4:AE$23,AE8)&gt;1,"T"&amp;_xlfn.RANK.EQ(AE8,AE$4:AE$23,0),_xlfn.RANK.EQ(AE8,AE$4:AE$23,0))</f>
        <v/>
      </c>
      <c r="AG8">
        <f>INDEX(Team_Summary!$A$1:$JF$21,MATCH(_xlfn.XLOOKUP($B8,Helpers!$C$4:$C$26,Helpers!$B$4:$B$26,"",0),Team_Summary!$A:$A,0),MATCH("Team_League Table_Home_GF",Team_Summary!$1:$1,0))</f>
        <v/>
      </c>
      <c r="AH8" s="30">
        <f>IF(COUNTIF(AG$4:AG$23,AG8)&gt;1,"T"&amp;_xlfn.RANK.EQ(AG8,AG$4:AG$23,0),_xlfn.RANK.EQ(AG8,AG$4:AG$23,0))</f>
        <v/>
      </c>
      <c r="AI8">
        <f>INDEX(Team_Summary!$A$1:$JF$21,MATCH(_xlfn.XLOOKUP($B8,Helpers!$C$4:$C$26,Helpers!$B$4:$B$26,"",0),Team_Summary!$A:$A,0),MATCH("Team_League Table_Away_GF",Team_Summary!$1:$1,0))</f>
        <v/>
      </c>
      <c r="AJ8" s="30">
        <f>IF(COUNTIF(AI$4:AI$23,AI8)&gt;1,"T"&amp;_xlfn.RANK.EQ(AI8,AI$4:AI$23,0),_xlfn.RANK.EQ(AI8,AI$4:AI$23,0))</f>
        <v/>
      </c>
      <c r="AK8">
        <f>INDEX(Team_Summary!$A$1:$JF$21,MATCH(_xlfn.XLOOKUP($B8,Helpers!$C$4:$C$26,Helpers!$B$4:$B$26,"",0),Team_Summary!$A:$A,0),MATCH("Team_League Table_Home_GA",Team_Summary!$1:$1,0))</f>
        <v/>
      </c>
      <c r="AL8" s="30">
        <f>IF(COUNTIF(AK$4:AK$23,AK8)&gt;1,"T"&amp;_xlfn.RANK.EQ(AK8,AK$4:AK$23,1),_xlfn.RANK.EQ(AK8,AK$4:AK$23,1))</f>
        <v/>
      </c>
      <c r="AM8">
        <f>INDEX(Team_Summary!$A$1:$JF$21,MATCH(_xlfn.XLOOKUP($B8,Helpers!$C$4:$C$26,Helpers!$B$4:$B$26,"",0),Team_Summary!$A:$A,0),MATCH("Team_League Table_Away_GA",Team_Summary!$1:$1,0))</f>
        <v/>
      </c>
      <c r="AN8" s="30">
        <f>IF(COUNTIF(AM$4:AM$23,AM8)&gt;1,"T"&amp;_xlfn.RANK.EQ(AM8,AM$4:AM$23,1),_xlfn.RANK.EQ(AM8,AM$4:AM$23,1))</f>
        <v/>
      </c>
      <c r="AO8">
        <f>INDEX(Team_Summary!$A$1:$JF$21,MATCH(_xlfn.XLOOKUP($B8,Helpers!$C$4:$C$26,Helpers!$B$4:$B$26,"",0),Team_Summary!$A:$A,0),MATCH("Team_League Table_Home_GD",Team_Summary!$1:$1,0))</f>
        <v/>
      </c>
      <c r="AP8" s="30">
        <f>IF(COUNTIF(AO$4:AO$23,AO8)&gt;1,"T"&amp;_xlfn.RANK.EQ(AO8,AO$4:AO$23,0),_xlfn.RANK.EQ(AO8,AO$4:AO$23,0))</f>
        <v/>
      </c>
      <c r="AQ8">
        <f>INDEX(Team_Summary!$A$1:$JF$21,MATCH(_xlfn.XLOOKUP($B8,Helpers!$C$4:$C$26,Helpers!$B$4:$B$26,"",0),Team_Summary!$A:$A,0),MATCH("Team_League Table_Away_GD",Team_Summary!$1:$1,0))</f>
        <v/>
      </c>
      <c r="AR8" s="30">
        <f>IF(COUNTIF(AQ$4:AQ$23,AQ8)&gt;1,"T"&amp;_xlfn.RANK.EQ(AQ8,AQ$4:AQ$23,0),_xlfn.RANK.EQ(AQ8,AQ$4:AQ$23,0))</f>
        <v/>
      </c>
      <c r="AS8">
        <f>INDEX(Team_Summary!$A$1:$JF$21,MATCH(_xlfn.XLOOKUP($B8,Helpers!$C$4:$C$26,Helpers!$B$4:$B$26,"",0),Team_Summary!$A:$A,0),MATCH("Team_Standard_Stats_Gls",Team_Summary!$1:$1,0))</f>
        <v/>
      </c>
      <c r="AT8" s="30">
        <f>IF(COUNTIF(AS$4:AS$23,AS8)&gt;1,"T"&amp;_xlfn.RANK.EQ(AS8,AS$4:AS$23,0),_xlfn.RANK.EQ(AS8,AS$4:AS$23,0))</f>
        <v/>
      </c>
      <c r="AU8" s="27">
        <f>C8/INDEX(Team_Summary!$A$1:$JF$21,MATCH(_xlfn.XLOOKUP($B8,Helpers!$C$4:$C$26,Helpers!$B$4:$B$26,"",0),Team_Summary!$A:$A,0),MATCH("Team_League Table_Overall_MP",Team_Summary!$1:$1,0))</f>
        <v/>
      </c>
      <c r="AV8" s="30">
        <f>IF(COUNTIF(AU$4:AU$23,AU8)&gt;1,"T"&amp;_xlfn.RANK.EQ(AU8,AU$4:AU$23,0),_xlfn.RANK.EQ(AU8,AU$4:AU$23,0))</f>
        <v/>
      </c>
      <c r="AW8">
        <f>INDEX(Team_Summary!$A$1:$JF$21,MATCH(_xlfn.XLOOKUP($B8,Helpers!$C$4:$C$26,Helpers!$B$4:$B$26,"",0),Team_Summary!$A:$A,0),MATCH("Team_Standard_Stats_G-PK",Team_Summary!$1:$1,0))</f>
        <v/>
      </c>
      <c r="AX8" s="30">
        <f>IF(COUNTIF(AW$4:AW$23,AW8)&gt;1,"T"&amp;_xlfn.RANK.EQ(AW8,AW$4:AW$23,0),_xlfn.RANK.EQ(AW8,AW$4:AW$23,0))</f>
        <v/>
      </c>
      <c r="AY8">
        <f>INDEX(Team_Summary!$A$1:$JF$21,MATCH(_xlfn.XLOOKUP($B8,Helpers!$C$4:$C$26,Helpers!$B$4:$B$26,"",0),Team_Summary!$A:$A,0),MATCH("Team_Standard_Stats_PK",Team_Summary!$1:$1,0))</f>
        <v/>
      </c>
      <c r="AZ8" s="30">
        <f>IF(COUNTIF(AY$4:AY$23,AY8)&gt;1,"T"&amp;_xlfn.RANK.EQ(AY8,AY$4:AY$23,0),_xlfn.RANK.EQ(AY8,AY$4:AY$23,0))</f>
        <v/>
      </c>
      <c r="BA8">
        <f>INDEX(Team_Summary!$A$1:$JF$21,MATCH(_xlfn.XLOOKUP($B8,Helpers!$C$4:$C$26,Helpers!$B$4:$B$26,"",0),Team_Summary!$A:$A,0),MATCH("Team_Standard_Stats_Ast.1",Team_Summary!$1:$1,0))</f>
        <v/>
      </c>
      <c r="BB8" s="30">
        <f>IF(COUNTIF(BA$4:BA$23,BA8)&gt;1,"T"&amp;_xlfn.RANK.EQ(BA8,BA$4:BA$23,0),_xlfn.RANK.EQ(BA8,BA$4:BA$23,0))</f>
        <v/>
      </c>
      <c r="BC8">
        <f>INDEX(Team_Summary!$A$1:$JF$21,MATCH(_xlfn.XLOOKUP($B8,Helpers!$C$4:$C$26,Helpers!$B$4:$B$26,"",0),Team_Summary!$A:$A,0),MATCH("Team_Standard_Stats_Ast",Team_Summary!$1:$1,0))</f>
        <v/>
      </c>
      <c r="BD8" s="30">
        <f>IF(COUNTIF(BC$4:BC$23,BC8)&gt;1,"T"&amp;_xlfn.RANK.EQ(BC8,BC$4:BC$23,0),_xlfn.RANK.EQ(BC8,BC$4:BC$23,0))</f>
        <v/>
      </c>
      <c r="BE8">
        <f>INDEX(Team_Summary!$A$1:$JF$21,MATCH(_xlfn.XLOOKUP($B8,Helpers!$C$4:$C$26,Helpers!$B$4:$B$26,"",0),Team_Summary!$A:$A,0),MATCH("Team_Miscellaneous_Stats_CrdY",Team_Summary!$1:$1,0))</f>
        <v/>
      </c>
      <c r="BF8" s="30">
        <f>IF(COUNTIF(BE$4:BE$23,BE8)&gt;1,"T"&amp;_xlfn.RANK.EQ(BE8,BE$4:BE$23,1),_xlfn.RANK.EQ(BE8,BE$4:BE$23,1))</f>
        <v/>
      </c>
      <c r="BG8" s="35">
        <f>BE8/INDEX(Team_Summary!$A$1:$JF$21,MATCH(_xlfn.XLOOKUP($B8,Helpers!$C$4:$C$26,Helpers!$B$4:$B$26,"",0),Team_Summary!$A:$A,0),MATCH("Team_League Table_Overall_MP",Team_Summary!$1:$1,0))</f>
        <v/>
      </c>
      <c r="BH8" s="30">
        <f>IF(COUNTIF(BG$4:BG$23,BG8)&gt;1,"T"&amp;_xlfn.RANK.EQ(BG8,BG$4:BG$23,1),_xlfn.RANK.EQ(BG8,BG$4:BG$23,1))</f>
        <v/>
      </c>
      <c r="BI8">
        <f>INDEX(Team_Summary!$A$1:$JF$21,MATCH(_xlfn.XLOOKUP($B8,Helpers!$C$4:$C$26,Helpers!$B$4:$B$26,"",0),Team_Summary!$A:$A,0),MATCH("Team_Miscellaneous_Stats_CrdR",Team_Summary!$1:$1,0))/INDEX(Team_Summary!$A$1:$JF$21,MATCH(_xlfn.XLOOKUP($B8,Helpers!$C$4:$C$26,Helpers!$B$4:$B$26,"",0),Team_Summary!$A:$A,0),MATCH("Team_League Table_Overall_MP",Team_Summary!$1:$1,0))</f>
        <v/>
      </c>
      <c r="BJ8" s="30">
        <f>IF(COUNTIF(BI$4:BI$23,BI8)&gt;1,"T"&amp;_xlfn.RANK.EQ(BI8,BI$4:BI$23,1),_xlfn.RANK.EQ(BI8,BI$4:BI$23,1))</f>
        <v/>
      </c>
      <c r="BK8">
        <f>INDEX(Team_Summary!$A$1:$JF$21,MATCH(_xlfn.XLOOKUP($B8,Helpers!$C$4:$C$26,Helpers!$B$4:$B$26,"",0),Team_Summary!$A:$A,0),MATCH("Team_Goalkeeping_SoTA",Team_Summary!$1:$1,0))/INDEX(Team_Summary!$A$1:$JF$21,MATCH(_xlfn.XLOOKUP($B8,Helpers!$C$4:$C$26,Helpers!$B$4:$B$26,"",0),Team_Summary!$A:$A,0),MATCH("Team_League Table_Overall_MP",Team_Summary!$1:$1,0))</f>
        <v/>
      </c>
      <c r="BL8" s="30">
        <f>IF(COUNTIF(BK$4:BK$23,BK8)&gt;1,"T"&amp;_xlfn.RANK.EQ(BK8,BK$4:BK$23,1),_xlfn.RANK.EQ(BK8,BK$4:BK$23,1))</f>
        <v/>
      </c>
      <c r="BM8">
        <f>INDEX(Team_Summary!$A$1:$JF$21,MATCH(_xlfn.XLOOKUP($B8,Helpers!$C$4:$C$26,Helpers!$B$4:$B$26,"",0),Team_Summary!$A:$A,0),MATCH("Team_Goalkeeping_Save%",Team_Summary!$1:$1,0))</f>
        <v/>
      </c>
      <c r="BN8" s="30">
        <f>IF(COUNTIF(BM$4:BM$23,BM8)&gt;1,"T"&amp;_xlfn.RANK.EQ(BM8,BM$4:BM$23,0),_xlfn.RANK.EQ(BM8,BM$4:BM$23,0))</f>
        <v/>
      </c>
      <c r="BO8">
        <f>INDEX(Team_Summary!$A$1:$JF$21,MATCH(_xlfn.XLOOKUP($B8,Helpers!$C$4:$C$26,Helpers!$B$4:$B$26,"",0),Team_Summary!$A:$A,0),MATCH("Team_Goalkeeping_CS%",Team_Summary!$1:$1,0))</f>
        <v/>
      </c>
      <c r="BP8" s="30">
        <f>IF(COUNTIF(BO$4:BO$23,BO8)&gt;1,"T"&amp;_xlfn.RANK.EQ(BO8,BO$4:BO$23,0),_xlfn.RANK.EQ(BO8,BO$4:BO$23,0))</f>
        <v/>
      </c>
      <c r="BQ8">
        <f>INDEX(Team_Summary!$A$1:$JF$21,MATCH(_xlfn.XLOOKUP($B8,Helpers!$C$4:$C$26,Helpers!$B$4:$B$26,"",0),Team_Summary!$A:$A,0),MATCH("Team_Goalkeeping_Save%.1",Team_Summary!$1:$1,0))</f>
        <v/>
      </c>
      <c r="BR8" s="30">
        <f>IF(COUNTIF(BQ$4:BQ$23,BQ8)&gt;1,"T"&amp;_xlfn.RANK.EQ(BQ8,BQ$4:BQ$23,0),_xlfn.RANK.EQ(BQ8,BQ$4:BQ$23,0))</f>
        <v/>
      </c>
      <c r="BS8">
        <f>INDEX(Team_Summary!$A$1:$JF$21,MATCH(_xlfn.XLOOKUP($B8,Helpers!$C$4:$C$26,Helpers!$B$4:$B$26,"",0),Team_Summary!$A:$A,0),MATCH("Team_Advanced_Goalkeeping_FK",Team_Summary!$1:$1,0))</f>
        <v/>
      </c>
      <c r="BT8" s="30">
        <f>IF(COUNTIF(BS$4:BS$23,BS8)&gt;1,"T"&amp;_xlfn.RANK.EQ(BS8,BS$4:BS$23,1),_xlfn.RANK.EQ(BS8,BS$4:BS$23,1))</f>
        <v/>
      </c>
      <c r="BU8">
        <f>INDEX(Team_Summary!$A$1:$JF$21,MATCH(_xlfn.XLOOKUP($B8,Helpers!$C$4:$C$26,Helpers!$B$4:$B$26,"",0),Team_Summary!$A:$A,0),MATCH("Team_Advanced_Goalkeeping_CK",Team_Summary!$1:$1,0))</f>
        <v/>
      </c>
      <c r="BV8" s="30">
        <f>IF(COUNTIF(BU$4:BU$23,BU8)&gt;1,"T"&amp;_xlfn.RANK.EQ(BU8,BU$4:BU$23,1),_xlfn.RANK.EQ(BU8,BU$4:BU$23,1))</f>
        <v/>
      </c>
      <c r="BW8">
        <f>INDEX(Team_Summary!$A$1:$JF$21,MATCH(_xlfn.XLOOKUP($B8,Helpers!$C$4:$C$26,Helpers!$B$4:$B$26,"",0),Team_Summary!$A:$A,0),MATCH("Team_Advanced_Goalkeeping_Stp%",Team_Summary!$1:$1,0))</f>
        <v/>
      </c>
      <c r="BX8" s="30">
        <f>IF(COUNTIF(BW$4:BW$23,BW8)&gt;1,"T"&amp;_xlfn.RANK.EQ(BW8,BW$4:BW$23,0),_xlfn.RANK.EQ(BW8,BW$4:BW$23,0))</f>
        <v/>
      </c>
      <c r="BY8">
        <f>INDEX(Team_Summary!$A$1:$JF$21,MATCH(_xlfn.XLOOKUP($B8,Helpers!$C$4:$C$26,Helpers!$B$4:$B$26,"",0),Team_Summary!$A:$A,0),MATCH("Team_Shooting_G/SoT",Team_Summary!$1:$1,0))</f>
        <v/>
      </c>
      <c r="BZ8" s="30">
        <f>IF(COUNTIF(BY$4:BY$23,BY8)&gt;1,"T"&amp;_xlfn.RANK.EQ(BY8,BY$4:BY$23,0),_xlfn.RANK.EQ(BY8,BY$4:BY$23,0))</f>
        <v/>
      </c>
      <c r="CA8">
        <f>INDEX(Team_Summary!$A$1:$JF$21,MATCH(_xlfn.XLOOKUP($B8,Helpers!$C$4:$C$26,Helpers!$B$4:$B$26,"",0),Team_Summary!$A:$A,0),MATCH("Team_Shooting_G/Sh",Team_Summary!$1:$1,0))</f>
        <v/>
      </c>
      <c r="CB8" s="30">
        <f>IF(COUNTIF(CA$4:CA$23,CA8)&gt;1,"T"&amp;_xlfn.RANK.EQ(CA8,CA$4:CA$23,0),_xlfn.RANK.EQ(CA8,CA$4:CA$23,0))</f>
        <v/>
      </c>
      <c r="CC8">
        <f>INDEX(Team_Summary!$A$1:$JF$21,MATCH(_xlfn.XLOOKUP($B8,Helpers!$C$4:$C$26,Helpers!$B$4:$B$26,"",0),Team_Summary!$A:$A,0),MATCH("Team_Shooting_SoT",Team_Summary!$1:$1,0))/INDEX(Team_Summary!$A$1:$JF$21,MATCH(_xlfn.XLOOKUP($B8,Helpers!$C$4:$C$26,Helpers!$B$4:$B$26,"",0),Team_Summary!$A:$A,0),MATCH("Team_League Table_Overall_MP",Team_Summary!$1:$1,0))</f>
        <v/>
      </c>
      <c r="CD8" s="30">
        <f>IF(COUNTIF(CC$4:CC$23,CC8)&gt;1,"T"&amp;_xlfn.RANK.EQ(CC8,CC$4:CC$23,0),_xlfn.RANK.EQ(CC8,CC$4:CC$23,0))</f>
        <v/>
      </c>
      <c r="CE8">
        <f>INDEX(Team_Summary!$A$1:$JF$21,MATCH(_xlfn.XLOOKUP($B8,Helpers!$C$4:$C$26,Helpers!$B$4:$B$26,"",0),Team_Summary!$A:$A,0),MATCH("Team_Shooting_SoT%",Team_Summary!$1:$1,0))</f>
        <v/>
      </c>
      <c r="CF8" s="30">
        <f>IF(COUNTIF(CE$4:CE$23,CE8)&gt;1,"T"&amp;_xlfn.RANK.EQ(CE8,CE$4:CE$23,0),_xlfn.RANK.EQ(CE8,CE$4:CE$23,0))</f>
        <v/>
      </c>
      <c r="CG8">
        <f>INDEX(Team_Summary!$A$1:$JF$21,MATCH(_xlfn.XLOOKUP($B8,Helpers!$C$4:$C$26,Helpers!$B$4:$B$26,"",0),Team_Summary!$A:$A,0),MATCH("Team_Pass_Types_CK",Team_Summary!$1:$1,0))/INDEX(Team_Summary!$A$1:$JF$21,MATCH(_xlfn.XLOOKUP($B8,Helpers!$C$4:$C$26,Helpers!$B$4:$B$26,"",0),Team_Summary!$A:$A,0),MATCH("Team_League Table_Overall_MP",Team_Summary!$1:$1,0))</f>
        <v/>
      </c>
      <c r="CH8" s="30">
        <f>IF(COUNTIF(CG$4:CG$23,CG8)&gt;1,"T"&amp;_xlfn.RANK.EQ(CG8,CG$4:CG$23,0),_xlfn.RANK.EQ(CG8,CG$4:CG$23,0))</f>
        <v/>
      </c>
      <c r="CI8">
        <f>INDEX(Team_Summary!$A$1:$JF$21,MATCH(_xlfn.XLOOKUP($B8,Helpers!$C$4:$C$26,Helpers!$B$4:$B$26,"",0),Team_Summary!$A:$A,0),MATCH("Team_Miscellaneous_Stats_TklW",Team_Summary!$1:$1,0))/INDEX(Team_Summary!$A$1:$JF$21,MATCH(_xlfn.XLOOKUP($B8,Helpers!$C$4:$C$26,Helpers!$B$4:$B$26,"",0),Team_Summary!$A:$A,0),MATCH("Team_League Table_Overall_MP",Team_Summary!$1:$1,0))</f>
        <v/>
      </c>
      <c r="CJ8" s="30">
        <f>IF(COUNTIF(CI$4:CI$23,CI8)&gt;1,"T"&amp;_xlfn.RANK.EQ(CI8,CI$4:CI$23,0),_xlfn.RANK.EQ(CI8,CI$4:CI$23,0))</f>
        <v/>
      </c>
      <c r="CK8">
        <f>INDEX(Team_Summary!$A$1:$JF$21,MATCH(_xlfn.XLOOKUP($B8,Helpers!$C$4:$C$26,Helpers!$B$4:$B$26,"",0),Team_Summary!$A:$A,0),MATCH("Team_Defensive_Actions_Sh",Team_Summary!$1:$1,0))/INDEX(Team_Summary!$A$1:$JF$21,MATCH(_xlfn.XLOOKUP($B8,Helpers!$C$4:$C$26,Helpers!$B$4:$B$26,"",0),Team_Summary!$A:$A,0),MATCH("Team_League Table_Overall_MP",Team_Summary!$1:$1,0))</f>
        <v/>
      </c>
      <c r="CL8" s="30">
        <f>IF(COUNTIF(CK$4:CK$23,CK8)&gt;1,"T"&amp;_xlfn.RANK.EQ(CK8,CK$4:CK$23,0),_xlfn.RANK.EQ(CK8,CK$4:CK$23,0))</f>
        <v/>
      </c>
      <c r="CM8">
        <f>INDEX(Team_Summary!$A$1:$JF$21,MATCH(_xlfn.XLOOKUP($B8,Helpers!$C$4:$C$26,Helpers!$B$4:$B$26,"",0),Team_Summary!$A:$A,0),MATCH("Team_Defensive_Actions_Int",Team_Summary!$1:$1,0))/INDEX(Team_Summary!$A$1:$JF$21,MATCH(_xlfn.XLOOKUP($B8,Helpers!$C$4:$C$26,Helpers!$B$4:$B$26,"",0),Team_Summary!$A:$A,0),MATCH("Team_League Table_Overall_MP",Team_Summary!$1:$1,0))</f>
        <v/>
      </c>
      <c r="CN8" s="30">
        <f>IF(COUNTIF(CM$4:CM$23,CM8)&gt;1,"T"&amp;_xlfn.RANK.EQ(CM8,CM$4:CM$23,0),_xlfn.RANK.EQ(CM8,CM$4:CM$23,0))</f>
        <v/>
      </c>
      <c r="CO8">
        <f>INDEX(Team_Summary!$A$1:$JF$21,MATCH(_xlfn.XLOOKUP($B8,Helpers!$C$4:$C$26,Helpers!$B$4:$B$26,"",0),Team_Summary!$A:$A,0),MATCH("Team_Possession_Poss",Team_Summary!$1:$1,0))</f>
        <v/>
      </c>
      <c r="CP8" s="30">
        <f>IF(COUNTIF(CO$4:CO$23,CO8)&gt;1,"T"&amp;_xlfn.RANK.EQ(CO8,CO$4:CO$23,0),_xlfn.RANK.EQ(CO8,CO$4:CO$23,0))</f>
        <v/>
      </c>
      <c r="CQ8">
        <f>INDEX(Team_Summary!$A$1:$JF$21,MATCH(_xlfn.XLOOKUP($B8,Helpers!$C$4:$C$26,Helpers!$B$4:$B$26,"",0),Team_Summary!$A:$A,0),MATCH("Team_Possession_Def Pen",Team_Summary!$1:$1,0))/INDEX(Team_Summary!$A$1:$JF$21,MATCH(_xlfn.XLOOKUP($B8,Helpers!$C$4:$C$26,Helpers!$B$4:$B$26,"",0),Team_Summary!$A:$A,0),MATCH("Team_League Table_Overall_MP",Team_Summary!$1:$1,0))</f>
        <v/>
      </c>
      <c r="CR8" s="30">
        <f>IF(COUNTIF(CQ$4:CQ$23,CQ8)&gt;1,"T"&amp;_xlfn.RANK.EQ(CQ8,CQ$4:CQ$23,0),_xlfn.RANK.EQ(CQ8,CQ$4:CQ$23,0))</f>
        <v/>
      </c>
      <c r="CS8">
        <f>INDEX(Team_Summary!$A$1:$JF$21,MATCH(_xlfn.XLOOKUP($B8,Helpers!$C$4:$C$26,Helpers!$B$4:$B$26,"",0),Team_Summary!$A:$A,0),MATCH("Team_Possession_Def 3rd",Team_Summary!$1:$1,0))/INDEX(Team_Summary!$A$1:$JF$21,MATCH(_xlfn.XLOOKUP($B8,Helpers!$C$4:$C$26,Helpers!$B$4:$B$26,"",0),Team_Summary!$A:$A,0),MATCH("Team_League Table_Overall_MP",Team_Summary!$1:$1,0))</f>
        <v/>
      </c>
      <c r="CT8" s="30">
        <f>IF(COUNTIF(CS$4:CS$23,CS8)&gt;1,"T"&amp;_xlfn.RANK.EQ(CS8,CS$4:CS$23,0),_xlfn.RANK.EQ(CS8,CS$4:CS$23,0))</f>
        <v/>
      </c>
      <c r="CU8">
        <f>INDEX(Team_Summary!$A$1:$JF$21,MATCH(_xlfn.XLOOKUP($B8,Helpers!$C$4:$C$26,Helpers!$B$4:$B$26,"",0),Team_Summary!$A:$A,0),MATCH("Team_Possession_Mid 3rd",Team_Summary!$1:$1,0))/INDEX(Team_Summary!$A$1:$JF$21,MATCH(_xlfn.XLOOKUP($B8,Helpers!$C$4:$C$26,Helpers!$B$4:$B$26,"",0),Team_Summary!$A:$A,0),MATCH("Team_League Table_Overall_MP",Team_Summary!$1:$1,0))</f>
        <v/>
      </c>
      <c r="CV8" s="30">
        <f>IF(COUNTIF(CU$4:CU$23,CU8)&gt;1,"T"&amp;_xlfn.RANK.EQ(CU8,CU$4:CU$23,0),_xlfn.RANK.EQ(CU8,CU$4:CU$23,0))</f>
        <v/>
      </c>
      <c r="CW8">
        <f>INDEX(Team_Summary!$A$1:$JF$21,MATCH(_xlfn.XLOOKUP($B8,Helpers!$C$4:$C$26,Helpers!$B$4:$B$26,"",0),Team_Summary!$A:$A,0),MATCH("Team_Possession_Att 3rd",Team_Summary!$1:$1,0))/INDEX(Team_Summary!$A$1:$JF$21,MATCH(_xlfn.XLOOKUP($B8,Helpers!$C$4:$C$26,Helpers!$B$4:$B$26,"",0),Team_Summary!$A:$A,0),MATCH("Team_League Table_Overall_MP",Team_Summary!$1:$1,0))</f>
        <v/>
      </c>
      <c r="CX8" s="30">
        <f>IF(COUNTIF(CW$4:CW$23,CW8)&gt;1,"T"&amp;_xlfn.RANK.EQ(CW8,CW$4:CW$23,0),_xlfn.RANK.EQ(CW8,CW$4:CW$23,0))</f>
        <v/>
      </c>
      <c r="CY8">
        <f>INDEX(Team_Summary!$A$1:$JF$21,MATCH(_xlfn.XLOOKUP($B8,Helpers!$C$4:$C$26,Helpers!$B$4:$B$26,"",0),Team_Summary!$A:$A,0),MATCH("Team_Possession_Att Pen",Team_Summary!$1:$1,0))/INDEX(Team_Summary!$A$1:$JF$21,MATCH(_xlfn.XLOOKUP($B8,Helpers!$C$4:$C$26,Helpers!$B$4:$B$26,"",0),Team_Summary!$A:$A,0),MATCH("Team_League Table_Overall_MP",Team_Summary!$1:$1,0))</f>
        <v/>
      </c>
      <c r="CZ8" s="30">
        <f>IF(COUNTIF(CY$4:CY$23,CY8)&gt;1,"T"&amp;_xlfn.RANK.EQ(CY8,CY$4:CY$23,0),_xlfn.RANK.EQ(CY8,CY$4:CY$23,0))</f>
        <v/>
      </c>
      <c r="DA8">
        <f>INDEX(Team_Summary!$A$1:$JF$21,MATCH(_xlfn.XLOOKUP($B8,Helpers!$C$4:$C$26,Helpers!$B$4:$B$26,"",0),Team_Summary!$A:$A,0),MATCH("Team_Miscellaneous_Stats_Fls",Team_Summary!$1:$1,0))/INDEX(Team_Summary!$A$1:$JF$21,MATCH(_xlfn.XLOOKUP($B8,Helpers!$C$4:$C$26,Helpers!$B$4:$B$26,"",0),Team_Summary!$A:$A,0),MATCH("Team_League Table_Overall_MP",Team_Summary!$1:$1,0))</f>
        <v/>
      </c>
      <c r="DB8" s="30">
        <f>IF(COUNTIF(DA$4:DA$23,DA8)&gt;1,"T"&amp;_xlfn.RANK.EQ(DA8,DA$4:DA$23,1),_xlfn.RANK.EQ(DA8,DA$4:DA$23,1))</f>
        <v/>
      </c>
      <c r="DC8">
        <f>INDEX(Team_Summary!$A$1:$JF$21,MATCH(_xlfn.XLOOKUP($B8,Helpers!$C$4:$C$26,Helpers!$B$4:$B$26,"",0),Team_Summary!$A:$A,0),MATCH("Team_Miscellaneous_Stats_Fld",Team_Summary!$1:$1,0))/INDEX(Team_Summary!$A$1:$JF$21,MATCH(_xlfn.XLOOKUP($B8,Helpers!$C$4:$C$26,Helpers!$B$4:$B$26,"",0),Team_Summary!$A:$A,0),MATCH("Team_League Table_Overall_MP",Team_Summary!$1:$1,0))</f>
        <v/>
      </c>
      <c r="DD8" s="30">
        <f>IF(COUNTIF(DC$4:DC$23,DC8)&gt;1,"T"&amp;_xlfn.RANK.EQ(DC8,DC$4:DC$23,0),_xlfn.RANK.EQ(DC8,DC$4:DC$23,0))</f>
        <v/>
      </c>
      <c r="DE8">
        <f>INDEX(Team_Summary!$A$1:$JF$21,MATCH(_xlfn.XLOOKUP($B8,Helpers!$C$4:$C$26,Helpers!$B$4:$B$26,"",0),Team_Summary!$A:$A,0),MATCH("Team_Miscellaneous_Stats_Won",Team_Summary!$1:$1,0))/INDEX(Team_Summary!$A$1:$JF$21,MATCH(_xlfn.XLOOKUP($B8,Helpers!$C$4:$C$26,Helpers!$B$4:$B$26,"",0),Team_Summary!$A:$A,0),MATCH("Team_League Table_Overall_MP",Team_Summary!$1:$1,0))</f>
        <v/>
      </c>
      <c r="DF8" s="30">
        <f>IF(COUNTIF(DE$4:DE$23,DE8)&gt;1,"T"&amp;_xlfn.RANK.EQ(DE8,DE$4:DE$23,0),_xlfn.RANK.EQ(DE8,DE$4:DE$23,0))</f>
        <v/>
      </c>
      <c r="DG8">
        <f>INDEX(Team_Summary!$A$1:$JF$21,MATCH(_xlfn.XLOOKUP($B8,Helpers!$C$4:$C$26,Helpers!$B$4:$B$26,"",0),Team_Summary!$A:$A,0),MATCH("Team_Miscellaneous_Stats_Pkwon",Team_Summary!$1:$1,0))</f>
        <v/>
      </c>
      <c r="DH8" s="30">
        <f>IF(COUNTIF(DG$4:DG$23,DG8)&gt;1,"T"&amp;_xlfn.RANK.EQ(DG8,DG$4:DG$23,0),_xlfn.RANK.EQ(DG8,DG$4:DG$23,0))</f>
        <v/>
      </c>
      <c r="DI8">
        <f>INDEX(Team_Summary!$A$1:$JF$21,MATCH(_xlfn.XLOOKUP($B8,Helpers!$C$4:$C$26,Helpers!$B$4:$B$26,"",0),Team_Summary!$A:$A,0),MATCH("Team_Miscellaneous_Stats_Pkcon",Team_Summary!$1:$1,0))</f>
        <v/>
      </c>
      <c r="DJ8" s="30">
        <f>IF(COUNTIF(DI$4:DI$23,DI8)&gt;1,"T"&amp;_xlfn.RANK.EQ(DI8,DI$4:DI$23,1),_xlfn.RANK.EQ(DI8,DI$4:DI$23,1))</f>
        <v/>
      </c>
      <c r="DK8">
        <f>INDEX(Team_Summary!$A$1:$JF$21,MATCH(_xlfn.XLOOKUP($B8,Helpers!$C$4:$C$26,Helpers!$B$4:$B$26,"",0),Team_Summary!$A:$A,0),MATCH("Team_Playing_Time_Age",Team_Summary!$1:$1,0))</f>
        <v/>
      </c>
      <c r="DL8" s="30">
        <f>IF(COUNTIF(DK$4:DK$23,DK8)&gt;1,"T"&amp;_xlfn.RANK.EQ(DK8,DK$4:DK$23,1),_xlfn.RANK.EQ(DK8,DK$4:DK$23,1))</f>
        <v/>
      </c>
    </row>
    <row r="9">
      <c r="B9" t="inlineStr">
        <is>
          <t>BUR</t>
        </is>
      </c>
      <c r="C9">
        <f>INDEX(Team_Summary!$A$1:$JF$21,MATCH(_xlfn.XLOOKUP($B9,Helpers!$C$4:$C$26,Helpers!$B$4:$B$26,"",0),Team_Summary!$A:$A,0),MATCH("Team_League Table_Overall_GF",Team_Summary!$1:$1,0))</f>
        <v/>
      </c>
      <c r="D9" s="30">
        <f>IF(COUNTIF(C$4:C$23,C9)&gt;1,"T"&amp;_xlfn.RANK.EQ(C9,C$4:C$23,0),_xlfn.RANK.EQ(C9,C$4:C$23,0))</f>
        <v/>
      </c>
      <c r="E9">
        <f>INDEX(Team_Summary!$A$1:$JF$21,MATCH(_xlfn.XLOOKUP($B9,Helpers!$C$4:$C$26,Helpers!$B$4:$B$26,"",0),Team_Summary!$A:$A,0),MATCH("Team_League Table_Overall_GA",Team_Summary!$1:$1,0))</f>
        <v/>
      </c>
      <c r="F9" s="30">
        <f>IF(COUNTIF(E$4:E$23,E9)&gt;1,"T"&amp;_xlfn.RANK.EQ(E9,E$4:E$23,1),_xlfn.RANK.EQ(E9,E$4:E$23,1))</f>
        <v/>
      </c>
      <c r="G9">
        <f>INDEX(Team_Summary!$A$1:$JF$21,MATCH(_xlfn.XLOOKUP($B9,Helpers!$C$4:$C$26,Helpers!$B$4:$B$26,"",0),Team_Summary!$A:$A,0),MATCH("Team_League Table_Overall_GD",Team_Summary!$1:$1,0))</f>
        <v/>
      </c>
      <c r="H9" s="30">
        <f>IF(COUNTIF(G$4:G$23,G9)&gt;1,"T"&amp;_xlfn.RANK.EQ(G9,G$4:G$23,0),_xlfn.RANK.EQ(G9,G$4:G$23,0))</f>
        <v/>
      </c>
      <c r="I9" s="27">
        <f>G9/INDEX(Team_Summary!$A$1:$JF$21,MATCH(_xlfn.XLOOKUP($B9,Helpers!$C$4:$C$26,Helpers!$B$4:$B$26,"",0),Team_Summary!$A:$A,0),MATCH("Team_League Table_Overall_MP",Team_Summary!$1:$1,0))</f>
        <v/>
      </c>
      <c r="J9" s="30">
        <f>IF(COUNTIF(I$4:I$23,I9)&gt;1,"T"&amp;_xlfn.RANK.EQ(I9,I$4:I$23,0),_xlfn.RANK.EQ(I9,I$4:I$23,0))</f>
        <v/>
      </c>
      <c r="K9">
        <f>INDEX(Team_Summary!$A$1:$JF$21,MATCH(_xlfn.XLOOKUP($B9,Helpers!$C$4:$C$26,Helpers!$B$4:$B$26,"",0),Team_Summary!$A:$A,0),MATCH("Team_League Table_Home_W",Team_Summary!$1:$1,0))</f>
        <v/>
      </c>
      <c r="L9" s="30">
        <f>IF(COUNTIF(K$4:K$23,K9)&gt;1,"T"&amp;_xlfn.RANK.EQ(K9,K$4:K$23,0),_xlfn.RANK.EQ(K9,K$4:K$23,0))</f>
        <v/>
      </c>
      <c r="M9">
        <f>INDEX(Team_Summary!$A$1:$JF$21,MATCH(_xlfn.XLOOKUP($B9,Helpers!$C$4:$C$26,Helpers!$B$4:$B$26,"",0),Team_Summary!$A:$A,0),MATCH("Team_League Table_Away_W",Team_Summary!$1:$1,0))</f>
        <v/>
      </c>
      <c r="N9" s="30">
        <f>IF(COUNTIF(M$4:M$23,M9)&gt;1,"T"&amp;_xlfn.RANK.EQ(M9,M$4:M$23,0),_xlfn.RANK.EQ(M9,M$4:M$23,0))</f>
        <v/>
      </c>
      <c r="O9">
        <f>INDEX(Team_Summary!$A$1:$JF$21,MATCH(_xlfn.XLOOKUP($B9,Helpers!$C$4:$C$26,Helpers!$B$4:$B$26,"",0),Team_Summary!$A:$A,0),MATCH("Team_League Table_Home_D",Team_Summary!$1:$1,0))</f>
        <v/>
      </c>
      <c r="P9" s="30">
        <f>IF(COUNTIF(O$4:O$23,O9)&gt;1,"T"&amp;_xlfn.RANK.EQ(O9,O$4:O$23,1),_xlfn.RANK.EQ(O9,O$4:O$23,1))</f>
        <v/>
      </c>
      <c r="Q9">
        <f>INDEX(Team_Summary!$A$1:$JF$21,MATCH(_xlfn.XLOOKUP($B9,Helpers!$C$4:$C$26,Helpers!$B$4:$B$26,"",0),Team_Summary!$A:$A,0),MATCH("Team_League Table_Away_D",Team_Summary!$1:$1,0))</f>
        <v/>
      </c>
      <c r="R9" s="30">
        <f>IF(COUNTIF(Q$4:Q$23,Q9)&gt;1,"T"&amp;_xlfn.RANK.EQ(Q9,Q$4:Q$23,1),_xlfn.RANK.EQ(Q9,Q$4:Q$23,1))</f>
        <v/>
      </c>
      <c r="S9">
        <f>INDEX(Team_Summary!$A$1:$JF$21,MATCH(_xlfn.XLOOKUP($B9,Helpers!$C$4:$C$26,Helpers!$B$4:$B$26,"",0),Team_Summary!$A:$A,0),MATCH("Team_League Table_Home_L",Team_Summary!$1:$1,0))</f>
        <v/>
      </c>
      <c r="T9" s="30">
        <f>IF(COUNTIF(S$4:S$23,S9)&gt;1,"T"&amp;_xlfn.RANK.EQ(S9,S$4:S$23,1),_xlfn.RANK.EQ(S9,S$4:S$23,1))</f>
        <v/>
      </c>
      <c r="U9">
        <f>INDEX(Team_Summary!$A$1:$JF$21,MATCH(_xlfn.XLOOKUP($B9,Helpers!$C$4:$C$26,Helpers!$B$4:$B$26,"",0),Team_Summary!$A:$A,0),MATCH("Team_League Table_Away_L",Team_Summary!$1:$1,0))</f>
        <v/>
      </c>
      <c r="V9" s="30">
        <f>IF(COUNTIF(U$4:U$23,U9)&gt;1,"T"&amp;_xlfn.RANK.EQ(U9,U$4:U$23,1),_xlfn.RANK.EQ(U9,U$4:U$23,1))</f>
        <v/>
      </c>
      <c r="W9">
        <f>INDEX(Team_Summary!$A$1:$JF$21,MATCH(_xlfn.XLOOKUP($B9,Helpers!$C$4:$C$26,Helpers!$B$4:$B$26,"",0),Team_Summary!$A:$A,0),MATCH("Team_League Table_Home_Pts",Team_Summary!$1:$1,0))</f>
        <v/>
      </c>
      <c r="X9" s="30">
        <f>IF(COUNTIF(W$4:W$23,W9)&gt;1,"T"&amp;_xlfn.RANK.EQ(W9,W$4:W$23,0),_xlfn.RANK.EQ(W9,W$4:W$23,0))</f>
        <v/>
      </c>
      <c r="Y9">
        <f>INDEX(Team_Summary!$A$1:$JF$21,MATCH(_xlfn.XLOOKUP($B9,Helpers!$C$4:$C$26,Helpers!$B$4:$B$26,"",0),Team_Summary!$A:$A,0),MATCH("Team_League Table_Away_Pts",Team_Summary!$1:$1,0))</f>
        <v/>
      </c>
      <c r="Z9" s="30">
        <f>IF(COUNTIF(Y$4:Y$23,Y9)&gt;1,"T"&amp;_xlfn.RANK.EQ(Y9,Y$4:Y$23,0),_xlfn.RANK.EQ(Y9,Y$4:Y$23,0))</f>
        <v/>
      </c>
      <c r="AA9">
        <f>INDEX(Team_Summary!$A$1:$JF$21,MATCH(_xlfn.XLOOKUP($B9,Helpers!$C$4:$C$26,Helpers!$B$4:$B$26,"",0),Team_Summary!$A:$A,0),MATCH("Team_League Table_Home_Pts/MP",Team_Summary!$1:$1,0))</f>
        <v/>
      </c>
      <c r="AB9" s="30">
        <f>IF(COUNTIF(AA$4:AA$23,AA9)&gt;1,"T"&amp;_xlfn.RANK.EQ(AA9,AA$4:AA$23,0),_xlfn.RANK.EQ(AA9,AA$4:AA$23,0))</f>
        <v/>
      </c>
      <c r="AC9">
        <f>INDEX(Team_Summary!$A$1:$JF$21,MATCH(_xlfn.XLOOKUP($B9,Helpers!$C$4:$C$26,Helpers!$B$4:$B$26,"",0),Team_Summary!$A:$A,0),MATCH("Team_League Table_Away_Pts/MP",Team_Summary!$1:$1,0))</f>
        <v/>
      </c>
      <c r="AD9" s="30">
        <f>IF(COUNTIF(AC$4:AC$23,AC9)&gt;1,"T"&amp;_xlfn.RANK.EQ(AC9,AC$4:AC$23,0),_xlfn.RANK.EQ(AC9,AC$4:AC$23,0))</f>
        <v/>
      </c>
      <c r="AE9">
        <f>INDEX(Team_Summary!$A$1:$JF$21,MATCH(_xlfn.XLOOKUP($B9,Helpers!$C$4:$C$26,Helpers!$B$4:$B$26,"",0),Team_Summary!$A:$A,0),MATCH("Team_League Table_Overall_Pts/MP",Team_Summary!$1:$1,0))</f>
        <v/>
      </c>
      <c r="AF9" s="30">
        <f>IF(COUNTIF(AE$4:AE$23,AE9)&gt;1,"T"&amp;_xlfn.RANK.EQ(AE9,AE$4:AE$23,0),_xlfn.RANK.EQ(AE9,AE$4:AE$23,0))</f>
        <v/>
      </c>
      <c r="AG9">
        <f>INDEX(Team_Summary!$A$1:$JF$21,MATCH(_xlfn.XLOOKUP($B9,Helpers!$C$4:$C$26,Helpers!$B$4:$B$26,"",0),Team_Summary!$A:$A,0),MATCH("Team_League Table_Home_GF",Team_Summary!$1:$1,0))</f>
        <v/>
      </c>
      <c r="AH9" s="30">
        <f>IF(COUNTIF(AG$4:AG$23,AG9)&gt;1,"T"&amp;_xlfn.RANK.EQ(AG9,AG$4:AG$23,0),_xlfn.RANK.EQ(AG9,AG$4:AG$23,0))</f>
        <v/>
      </c>
      <c r="AI9">
        <f>INDEX(Team_Summary!$A$1:$JF$21,MATCH(_xlfn.XLOOKUP($B9,Helpers!$C$4:$C$26,Helpers!$B$4:$B$26,"",0),Team_Summary!$A:$A,0),MATCH("Team_League Table_Away_GF",Team_Summary!$1:$1,0))</f>
        <v/>
      </c>
      <c r="AJ9" s="30">
        <f>IF(COUNTIF(AI$4:AI$23,AI9)&gt;1,"T"&amp;_xlfn.RANK.EQ(AI9,AI$4:AI$23,0),_xlfn.RANK.EQ(AI9,AI$4:AI$23,0))</f>
        <v/>
      </c>
      <c r="AK9">
        <f>INDEX(Team_Summary!$A$1:$JF$21,MATCH(_xlfn.XLOOKUP($B9,Helpers!$C$4:$C$26,Helpers!$B$4:$B$26,"",0),Team_Summary!$A:$A,0),MATCH("Team_League Table_Home_GA",Team_Summary!$1:$1,0))</f>
        <v/>
      </c>
      <c r="AL9" s="30">
        <f>IF(COUNTIF(AK$4:AK$23,AK9)&gt;1,"T"&amp;_xlfn.RANK.EQ(AK9,AK$4:AK$23,1),_xlfn.RANK.EQ(AK9,AK$4:AK$23,1))</f>
        <v/>
      </c>
      <c r="AM9">
        <f>INDEX(Team_Summary!$A$1:$JF$21,MATCH(_xlfn.XLOOKUP($B9,Helpers!$C$4:$C$26,Helpers!$B$4:$B$26,"",0),Team_Summary!$A:$A,0),MATCH("Team_League Table_Away_GA",Team_Summary!$1:$1,0))</f>
        <v/>
      </c>
      <c r="AN9" s="30">
        <f>IF(COUNTIF(AM$4:AM$23,AM9)&gt;1,"T"&amp;_xlfn.RANK.EQ(AM9,AM$4:AM$23,1),_xlfn.RANK.EQ(AM9,AM$4:AM$23,1))</f>
        <v/>
      </c>
      <c r="AO9">
        <f>INDEX(Team_Summary!$A$1:$JF$21,MATCH(_xlfn.XLOOKUP($B9,Helpers!$C$4:$C$26,Helpers!$B$4:$B$26,"",0),Team_Summary!$A:$A,0),MATCH("Team_League Table_Home_GD",Team_Summary!$1:$1,0))</f>
        <v/>
      </c>
      <c r="AP9" s="30">
        <f>IF(COUNTIF(AO$4:AO$23,AO9)&gt;1,"T"&amp;_xlfn.RANK.EQ(AO9,AO$4:AO$23,0),_xlfn.RANK.EQ(AO9,AO$4:AO$23,0))</f>
        <v/>
      </c>
      <c r="AQ9">
        <f>INDEX(Team_Summary!$A$1:$JF$21,MATCH(_xlfn.XLOOKUP($B9,Helpers!$C$4:$C$26,Helpers!$B$4:$B$26,"",0),Team_Summary!$A:$A,0),MATCH("Team_League Table_Away_GD",Team_Summary!$1:$1,0))</f>
        <v/>
      </c>
      <c r="AR9" s="30">
        <f>IF(COUNTIF(AQ$4:AQ$23,AQ9)&gt;1,"T"&amp;_xlfn.RANK.EQ(AQ9,AQ$4:AQ$23,0),_xlfn.RANK.EQ(AQ9,AQ$4:AQ$23,0))</f>
        <v/>
      </c>
      <c r="AS9">
        <f>INDEX(Team_Summary!$A$1:$JF$21,MATCH(_xlfn.XLOOKUP($B9,Helpers!$C$4:$C$26,Helpers!$B$4:$B$26,"",0),Team_Summary!$A:$A,0),MATCH("Team_Standard_Stats_Gls",Team_Summary!$1:$1,0))</f>
        <v/>
      </c>
      <c r="AT9" s="30">
        <f>IF(COUNTIF(AS$4:AS$23,AS9)&gt;1,"T"&amp;_xlfn.RANK.EQ(AS9,AS$4:AS$23,0),_xlfn.RANK.EQ(AS9,AS$4:AS$23,0))</f>
        <v/>
      </c>
      <c r="AU9" s="27">
        <f>C9/INDEX(Team_Summary!$A$1:$JF$21,MATCH(_xlfn.XLOOKUP($B9,Helpers!$C$4:$C$26,Helpers!$B$4:$B$26,"",0),Team_Summary!$A:$A,0),MATCH("Team_League Table_Overall_MP",Team_Summary!$1:$1,0))</f>
        <v/>
      </c>
      <c r="AV9" s="30">
        <f>IF(COUNTIF(AU$4:AU$23,AU9)&gt;1,"T"&amp;_xlfn.RANK.EQ(AU9,AU$4:AU$23,0),_xlfn.RANK.EQ(AU9,AU$4:AU$23,0))</f>
        <v/>
      </c>
      <c r="AW9">
        <f>INDEX(Team_Summary!$A$1:$JF$21,MATCH(_xlfn.XLOOKUP($B9,Helpers!$C$4:$C$26,Helpers!$B$4:$B$26,"",0),Team_Summary!$A:$A,0),MATCH("Team_Standard_Stats_G-PK",Team_Summary!$1:$1,0))</f>
        <v/>
      </c>
      <c r="AX9" s="30">
        <f>IF(COUNTIF(AW$4:AW$23,AW9)&gt;1,"T"&amp;_xlfn.RANK.EQ(AW9,AW$4:AW$23,0),_xlfn.RANK.EQ(AW9,AW$4:AW$23,0))</f>
        <v/>
      </c>
      <c r="AY9">
        <f>INDEX(Team_Summary!$A$1:$JF$21,MATCH(_xlfn.XLOOKUP($B9,Helpers!$C$4:$C$26,Helpers!$B$4:$B$26,"",0),Team_Summary!$A:$A,0),MATCH("Team_Standard_Stats_PK",Team_Summary!$1:$1,0))</f>
        <v/>
      </c>
      <c r="AZ9" s="30">
        <f>IF(COUNTIF(AY$4:AY$23,AY9)&gt;1,"T"&amp;_xlfn.RANK.EQ(AY9,AY$4:AY$23,0),_xlfn.RANK.EQ(AY9,AY$4:AY$23,0))</f>
        <v/>
      </c>
      <c r="BA9">
        <f>INDEX(Team_Summary!$A$1:$JF$21,MATCH(_xlfn.XLOOKUP($B9,Helpers!$C$4:$C$26,Helpers!$B$4:$B$26,"",0),Team_Summary!$A:$A,0),MATCH("Team_Standard_Stats_Ast.1",Team_Summary!$1:$1,0))</f>
        <v/>
      </c>
      <c r="BB9" s="30">
        <f>IF(COUNTIF(BA$4:BA$23,BA9)&gt;1,"T"&amp;_xlfn.RANK.EQ(BA9,BA$4:BA$23,0),_xlfn.RANK.EQ(BA9,BA$4:BA$23,0))</f>
        <v/>
      </c>
      <c r="BC9">
        <f>INDEX(Team_Summary!$A$1:$JF$21,MATCH(_xlfn.XLOOKUP($B9,Helpers!$C$4:$C$26,Helpers!$B$4:$B$26,"",0),Team_Summary!$A:$A,0),MATCH("Team_Standard_Stats_Ast",Team_Summary!$1:$1,0))</f>
        <v/>
      </c>
      <c r="BD9" s="30">
        <f>IF(COUNTIF(BC$4:BC$23,BC9)&gt;1,"T"&amp;_xlfn.RANK.EQ(BC9,BC$4:BC$23,0),_xlfn.RANK.EQ(BC9,BC$4:BC$23,0))</f>
        <v/>
      </c>
      <c r="BE9">
        <f>INDEX(Team_Summary!$A$1:$JF$21,MATCH(_xlfn.XLOOKUP($B9,Helpers!$C$4:$C$26,Helpers!$B$4:$B$26,"",0),Team_Summary!$A:$A,0),MATCH("Team_Miscellaneous_Stats_CrdY",Team_Summary!$1:$1,0))</f>
        <v/>
      </c>
      <c r="BF9" s="30">
        <f>IF(COUNTIF(BE$4:BE$23,BE9)&gt;1,"T"&amp;_xlfn.RANK.EQ(BE9,BE$4:BE$23,1),_xlfn.RANK.EQ(BE9,BE$4:BE$23,1))</f>
        <v/>
      </c>
      <c r="BG9" s="35">
        <f>BE9/INDEX(Team_Summary!$A$1:$JF$21,MATCH(_xlfn.XLOOKUP($B9,Helpers!$C$4:$C$26,Helpers!$B$4:$B$26,"",0),Team_Summary!$A:$A,0),MATCH("Team_League Table_Overall_MP",Team_Summary!$1:$1,0))</f>
        <v/>
      </c>
      <c r="BH9" s="30">
        <f>IF(COUNTIF(BG$4:BG$23,BG9)&gt;1,"T"&amp;_xlfn.RANK.EQ(BG9,BG$4:BG$23,1),_xlfn.RANK.EQ(BG9,BG$4:BG$23,1))</f>
        <v/>
      </c>
      <c r="BI9">
        <f>INDEX(Team_Summary!$A$1:$JF$21,MATCH(_xlfn.XLOOKUP($B9,Helpers!$C$4:$C$26,Helpers!$B$4:$B$26,"",0),Team_Summary!$A:$A,0),MATCH("Team_Miscellaneous_Stats_CrdR",Team_Summary!$1:$1,0))/INDEX(Team_Summary!$A$1:$JF$21,MATCH(_xlfn.XLOOKUP($B9,Helpers!$C$4:$C$26,Helpers!$B$4:$B$26,"",0),Team_Summary!$A:$A,0),MATCH("Team_League Table_Overall_MP",Team_Summary!$1:$1,0))</f>
        <v/>
      </c>
      <c r="BJ9" s="30">
        <f>IF(COUNTIF(BI$4:BI$23,BI9)&gt;1,"T"&amp;_xlfn.RANK.EQ(BI9,BI$4:BI$23,1),_xlfn.RANK.EQ(BI9,BI$4:BI$23,1))</f>
        <v/>
      </c>
      <c r="BK9">
        <f>INDEX(Team_Summary!$A$1:$JF$21,MATCH(_xlfn.XLOOKUP($B9,Helpers!$C$4:$C$26,Helpers!$B$4:$B$26,"",0),Team_Summary!$A:$A,0),MATCH("Team_Goalkeeping_SoTA",Team_Summary!$1:$1,0))/INDEX(Team_Summary!$A$1:$JF$21,MATCH(_xlfn.XLOOKUP($B9,Helpers!$C$4:$C$26,Helpers!$B$4:$B$26,"",0),Team_Summary!$A:$A,0),MATCH("Team_League Table_Overall_MP",Team_Summary!$1:$1,0))</f>
        <v/>
      </c>
      <c r="BL9" s="30">
        <f>IF(COUNTIF(BK$4:BK$23,BK9)&gt;1,"T"&amp;_xlfn.RANK.EQ(BK9,BK$4:BK$23,1),_xlfn.RANK.EQ(BK9,BK$4:BK$23,1))</f>
        <v/>
      </c>
      <c r="BM9">
        <f>INDEX(Team_Summary!$A$1:$JF$21,MATCH(_xlfn.XLOOKUP($B9,Helpers!$C$4:$C$26,Helpers!$B$4:$B$26,"",0),Team_Summary!$A:$A,0),MATCH("Team_Goalkeeping_Save%",Team_Summary!$1:$1,0))</f>
        <v/>
      </c>
      <c r="BN9" s="30">
        <f>IF(COUNTIF(BM$4:BM$23,BM9)&gt;1,"T"&amp;_xlfn.RANK.EQ(BM9,BM$4:BM$23,0),_xlfn.RANK.EQ(BM9,BM$4:BM$23,0))</f>
        <v/>
      </c>
      <c r="BO9">
        <f>INDEX(Team_Summary!$A$1:$JF$21,MATCH(_xlfn.XLOOKUP($B9,Helpers!$C$4:$C$26,Helpers!$B$4:$B$26,"",0),Team_Summary!$A:$A,0),MATCH("Team_Goalkeeping_CS%",Team_Summary!$1:$1,0))</f>
        <v/>
      </c>
      <c r="BP9" s="30">
        <f>IF(COUNTIF(BO$4:BO$23,BO9)&gt;1,"T"&amp;_xlfn.RANK.EQ(BO9,BO$4:BO$23,0),_xlfn.RANK.EQ(BO9,BO$4:BO$23,0))</f>
        <v/>
      </c>
      <c r="BQ9">
        <f>INDEX(Team_Summary!$A$1:$JF$21,MATCH(_xlfn.XLOOKUP($B9,Helpers!$C$4:$C$26,Helpers!$B$4:$B$26,"",0),Team_Summary!$A:$A,0),MATCH("Team_Goalkeeping_Save%.1",Team_Summary!$1:$1,0))</f>
        <v/>
      </c>
      <c r="BR9" s="30">
        <f>IF(COUNTIF(BQ$4:BQ$23,BQ9)&gt;1,"T"&amp;_xlfn.RANK.EQ(BQ9,BQ$4:BQ$23,0),_xlfn.RANK.EQ(BQ9,BQ$4:BQ$23,0))</f>
        <v/>
      </c>
      <c r="BS9">
        <f>INDEX(Team_Summary!$A$1:$JF$21,MATCH(_xlfn.XLOOKUP($B9,Helpers!$C$4:$C$26,Helpers!$B$4:$B$26,"",0),Team_Summary!$A:$A,0),MATCH("Team_Advanced_Goalkeeping_FK",Team_Summary!$1:$1,0))</f>
        <v/>
      </c>
      <c r="BT9" s="30">
        <f>IF(COUNTIF(BS$4:BS$23,BS9)&gt;1,"T"&amp;_xlfn.RANK.EQ(BS9,BS$4:BS$23,1),_xlfn.RANK.EQ(BS9,BS$4:BS$23,1))</f>
        <v/>
      </c>
      <c r="BU9">
        <f>INDEX(Team_Summary!$A$1:$JF$21,MATCH(_xlfn.XLOOKUP($B9,Helpers!$C$4:$C$26,Helpers!$B$4:$B$26,"",0),Team_Summary!$A:$A,0),MATCH("Team_Advanced_Goalkeeping_CK",Team_Summary!$1:$1,0))</f>
        <v/>
      </c>
      <c r="BV9" s="30">
        <f>IF(COUNTIF(BU$4:BU$23,BU9)&gt;1,"T"&amp;_xlfn.RANK.EQ(BU9,BU$4:BU$23,1),_xlfn.RANK.EQ(BU9,BU$4:BU$23,1))</f>
        <v/>
      </c>
      <c r="BW9">
        <f>INDEX(Team_Summary!$A$1:$JF$21,MATCH(_xlfn.XLOOKUP($B9,Helpers!$C$4:$C$26,Helpers!$B$4:$B$26,"",0),Team_Summary!$A:$A,0),MATCH("Team_Advanced_Goalkeeping_Stp%",Team_Summary!$1:$1,0))</f>
        <v/>
      </c>
      <c r="BX9" s="30">
        <f>IF(COUNTIF(BW$4:BW$23,BW9)&gt;1,"T"&amp;_xlfn.RANK.EQ(BW9,BW$4:BW$23,0),_xlfn.RANK.EQ(BW9,BW$4:BW$23,0))</f>
        <v/>
      </c>
      <c r="BY9">
        <f>INDEX(Team_Summary!$A$1:$JF$21,MATCH(_xlfn.XLOOKUP($B9,Helpers!$C$4:$C$26,Helpers!$B$4:$B$26,"",0),Team_Summary!$A:$A,0),MATCH("Team_Shooting_G/SoT",Team_Summary!$1:$1,0))</f>
        <v/>
      </c>
      <c r="BZ9" s="30">
        <f>IF(COUNTIF(BY$4:BY$23,BY9)&gt;1,"T"&amp;_xlfn.RANK.EQ(BY9,BY$4:BY$23,0),_xlfn.RANK.EQ(BY9,BY$4:BY$23,0))</f>
        <v/>
      </c>
      <c r="CA9">
        <f>INDEX(Team_Summary!$A$1:$JF$21,MATCH(_xlfn.XLOOKUP($B9,Helpers!$C$4:$C$26,Helpers!$B$4:$B$26,"",0),Team_Summary!$A:$A,0),MATCH("Team_Shooting_G/Sh",Team_Summary!$1:$1,0))</f>
        <v/>
      </c>
      <c r="CB9" s="30">
        <f>IF(COUNTIF(CA$4:CA$23,CA9)&gt;1,"T"&amp;_xlfn.RANK.EQ(CA9,CA$4:CA$23,0),_xlfn.RANK.EQ(CA9,CA$4:CA$23,0))</f>
        <v/>
      </c>
      <c r="CC9">
        <f>INDEX(Team_Summary!$A$1:$JF$21,MATCH(_xlfn.XLOOKUP($B9,Helpers!$C$4:$C$26,Helpers!$B$4:$B$26,"",0),Team_Summary!$A:$A,0),MATCH("Team_Shooting_SoT",Team_Summary!$1:$1,0))/INDEX(Team_Summary!$A$1:$JF$21,MATCH(_xlfn.XLOOKUP($B9,Helpers!$C$4:$C$26,Helpers!$B$4:$B$26,"",0),Team_Summary!$A:$A,0),MATCH("Team_League Table_Overall_MP",Team_Summary!$1:$1,0))</f>
        <v/>
      </c>
      <c r="CD9" s="30">
        <f>IF(COUNTIF(CC$4:CC$23,CC9)&gt;1,"T"&amp;_xlfn.RANK.EQ(CC9,CC$4:CC$23,0),_xlfn.RANK.EQ(CC9,CC$4:CC$23,0))</f>
        <v/>
      </c>
      <c r="CE9">
        <f>INDEX(Team_Summary!$A$1:$JF$21,MATCH(_xlfn.XLOOKUP($B9,Helpers!$C$4:$C$26,Helpers!$B$4:$B$26,"",0),Team_Summary!$A:$A,0),MATCH("Team_Shooting_SoT%",Team_Summary!$1:$1,0))</f>
        <v/>
      </c>
      <c r="CF9" s="30">
        <f>IF(COUNTIF(CE$4:CE$23,CE9)&gt;1,"T"&amp;_xlfn.RANK.EQ(CE9,CE$4:CE$23,0),_xlfn.RANK.EQ(CE9,CE$4:CE$23,0))</f>
        <v/>
      </c>
      <c r="CG9">
        <f>INDEX(Team_Summary!$A$1:$JF$21,MATCH(_xlfn.XLOOKUP($B9,Helpers!$C$4:$C$26,Helpers!$B$4:$B$26,"",0),Team_Summary!$A:$A,0),MATCH("Team_Pass_Types_CK",Team_Summary!$1:$1,0))/INDEX(Team_Summary!$A$1:$JF$21,MATCH(_xlfn.XLOOKUP($B9,Helpers!$C$4:$C$26,Helpers!$B$4:$B$26,"",0),Team_Summary!$A:$A,0),MATCH("Team_League Table_Overall_MP",Team_Summary!$1:$1,0))</f>
        <v/>
      </c>
      <c r="CH9" s="30">
        <f>IF(COUNTIF(CG$4:CG$23,CG9)&gt;1,"T"&amp;_xlfn.RANK.EQ(CG9,CG$4:CG$23,0),_xlfn.RANK.EQ(CG9,CG$4:CG$23,0))</f>
        <v/>
      </c>
      <c r="CI9">
        <f>INDEX(Team_Summary!$A$1:$JF$21,MATCH(_xlfn.XLOOKUP($B9,Helpers!$C$4:$C$26,Helpers!$B$4:$B$26,"",0),Team_Summary!$A:$A,0),MATCH("Team_Miscellaneous_Stats_TklW",Team_Summary!$1:$1,0))/INDEX(Team_Summary!$A$1:$JF$21,MATCH(_xlfn.XLOOKUP($B9,Helpers!$C$4:$C$26,Helpers!$B$4:$B$26,"",0),Team_Summary!$A:$A,0),MATCH("Team_League Table_Overall_MP",Team_Summary!$1:$1,0))</f>
        <v/>
      </c>
      <c r="CJ9" s="30">
        <f>IF(COUNTIF(CI$4:CI$23,CI9)&gt;1,"T"&amp;_xlfn.RANK.EQ(CI9,CI$4:CI$23,0),_xlfn.RANK.EQ(CI9,CI$4:CI$23,0))</f>
        <v/>
      </c>
      <c r="CK9">
        <f>INDEX(Team_Summary!$A$1:$JF$21,MATCH(_xlfn.XLOOKUP($B9,Helpers!$C$4:$C$26,Helpers!$B$4:$B$26,"",0),Team_Summary!$A:$A,0),MATCH("Team_Defensive_Actions_Sh",Team_Summary!$1:$1,0))/INDEX(Team_Summary!$A$1:$JF$21,MATCH(_xlfn.XLOOKUP($B9,Helpers!$C$4:$C$26,Helpers!$B$4:$B$26,"",0),Team_Summary!$A:$A,0),MATCH("Team_League Table_Overall_MP",Team_Summary!$1:$1,0))</f>
        <v/>
      </c>
      <c r="CL9" s="30">
        <f>IF(COUNTIF(CK$4:CK$23,CK9)&gt;1,"T"&amp;_xlfn.RANK.EQ(CK9,CK$4:CK$23,0),_xlfn.RANK.EQ(CK9,CK$4:CK$23,0))</f>
        <v/>
      </c>
      <c r="CM9">
        <f>INDEX(Team_Summary!$A$1:$JF$21,MATCH(_xlfn.XLOOKUP($B9,Helpers!$C$4:$C$26,Helpers!$B$4:$B$26,"",0),Team_Summary!$A:$A,0),MATCH("Team_Defensive_Actions_Int",Team_Summary!$1:$1,0))/INDEX(Team_Summary!$A$1:$JF$21,MATCH(_xlfn.XLOOKUP($B9,Helpers!$C$4:$C$26,Helpers!$B$4:$B$26,"",0),Team_Summary!$A:$A,0),MATCH("Team_League Table_Overall_MP",Team_Summary!$1:$1,0))</f>
        <v/>
      </c>
      <c r="CN9" s="30">
        <f>IF(COUNTIF(CM$4:CM$23,CM9)&gt;1,"T"&amp;_xlfn.RANK.EQ(CM9,CM$4:CM$23,0),_xlfn.RANK.EQ(CM9,CM$4:CM$23,0))</f>
        <v/>
      </c>
      <c r="CO9">
        <f>INDEX(Team_Summary!$A$1:$JF$21,MATCH(_xlfn.XLOOKUP($B9,Helpers!$C$4:$C$26,Helpers!$B$4:$B$26,"",0),Team_Summary!$A:$A,0),MATCH("Team_Possession_Poss",Team_Summary!$1:$1,0))</f>
        <v/>
      </c>
      <c r="CP9" s="30">
        <f>IF(COUNTIF(CO$4:CO$23,CO9)&gt;1,"T"&amp;_xlfn.RANK.EQ(CO9,CO$4:CO$23,0),_xlfn.RANK.EQ(CO9,CO$4:CO$23,0))</f>
        <v/>
      </c>
      <c r="CQ9">
        <f>INDEX(Team_Summary!$A$1:$JF$21,MATCH(_xlfn.XLOOKUP($B9,Helpers!$C$4:$C$26,Helpers!$B$4:$B$26,"",0),Team_Summary!$A:$A,0),MATCH("Team_Possession_Def Pen",Team_Summary!$1:$1,0))/INDEX(Team_Summary!$A$1:$JF$21,MATCH(_xlfn.XLOOKUP($B9,Helpers!$C$4:$C$26,Helpers!$B$4:$B$26,"",0),Team_Summary!$A:$A,0),MATCH("Team_League Table_Overall_MP",Team_Summary!$1:$1,0))</f>
        <v/>
      </c>
      <c r="CR9" s="30">
        <f>IF(COUNTIF(CQ$4:CQ$23,CQ9)&gt;1,"T"&amp;_xlfn.RANK.EQ(CQ9,CQ$4:CQ$23,0),_xlfn.RANK.EQ(CQ9,CQ$4:CQ$23,0))</f>
        <v/>
      </c>
      <c r="CS9">
        <f>INDEX(Team_Summary!$A$1:$JF$21,MATCH(_xlfn.XLOOKUP($B9,Helpers!$C$4:$C$26,Helpers!$B$4:$B$26,"",0),Team_Summary!$A:$A,0),MATCH("Team_Possession_Def 3rd",Team_Summary!$1:$1,0))/INDEX(Team_Summary!$A$1:$JF$21,MATCH(_xlfn.XLOOKUP($B9,Helpers!$C$4:$C$26,Helpers!$B$4:$B$26,"",0),Team_Summary!$A:$A,0),MATCH("Team_League Table_Overall_MP",Team_Summary!$1:$1,0))</f>
        <v/>
      </c>
      <c r="CT9" s="30">
        <f>IF(COUNTIF(CS$4:CS$23,CS9)&gt;1,"T"&amp;_xlfn.RANK.EQ(CS9,CS$4:CS$23,0),_xlfn.RANK.EQ(CS9,CS$4:CS$23,0))</f>
        <v/>
      </c>
      <c r="CU9">
        <f>INDEX(Team_Summary!$A$1:$JF$21,MATCH(_xlfn.XLOOKUP($B9,Helpers!$C$4:$C$26,Helpers!$B$4:$B$26,"",0),Team_Summary!$A:$A,0),MATCH("Team_Possession_Mid 3rd",Team_Summary!$1:$1,0))/INDEX(Team_Summary!$A$1:$JF$21,MATCH(_xlfn.XLOOKUP($B9,Helpers!$C$4:$C$26,Helpers!$B$4:$B$26,"",0),Team_Summary!$A:$A,0),MATCH("Team_League Table_Overall_MP",Team_Summary!$1:$1,0))</f>
        <v/>
      </c>
      <c r="CV9" s="30">
        <f>IF(COUNTIF(CU$4:CU$23,CU9)&gt;1,"T"&amp;_xlfn.RANK.EQ(CU9,CU$4:CU$23,0),_xlfn.RANK.EQ(CU9,CU$4:CU$23,0))</f>
        <v/>
      </c>
      <c r="CW9">
        <f>INDEX(Team_Summary!$A$1:$JF$21,MATCH(_xlfn.XLOOKUP($B9,Helpers!$C$4:$C$26,Helpers!$B$4:$B$26,"",0),Team_Summary!$A:$A,0),MATCH("Team_Possession_Att 3rd",Team_Summary!$1:$1,0))/INDEX(Team_Summary!$A$1:$JF$21,MATCH(_xlfn.XLOOKUP($B9,Helpers!$C$4:$C$26,Helpers!$B$4:$B$26,"",0),Team_Summary!$A:$A,0),MATCH("Team_League Table_Overall_MP",Team_Summary!$1:$1,0))</f>
        <v/>
      </c>
      <c r="CX9" s="30">
        <f>IF(COUNTIF(CW$4:CW$23,CW9)&gt;1,"T"&amp;_xlfn.RANK.EQ(CW9,CW$4:CW$23,0),_xlfn.RANK.EQ(CW9,CW$4:CW$23,0))</f>
        <v/>
      </c>
      <c r="CY9">
        <f>INDEX(Team_Summary!$A$1:$JF$21,MATCH(_xlfn.XLOOKUP($B9,Helpers!$C$4:$C$26,Helpers!$B$4:$B$26,"",0),Team_Summary!$A:$A,0),MATCH("Team_Possession_Att Pen",Team_Summary!$1:$1,0))/INDEX(Team_Summary!$A$1:$JF$21,MATCH(_xlfn.XLOOKUP($B9,Helpers!$C$4:$C$26,Helpers!$B$4:$B$26,"",0),Team_Summary!$A:$A,0),MATCH("Team_League Table_Overall_MP",Team_Summary!$1:$1,0))</f>
        <v/>
      </c>
      <c r="CZ9" s="30">
        <f>IF(COUNTIF(CY$4:CY$23,CY9)&gt;1,"T"&amp;_xlfn.RANK.EQ(CY9,CY$4:CY$23,0),_xlfn.RANK.EQ(CY9,CY$4:CY$23,0))</f>
        <v/>
      </c>
      <c r="DA9">
        <f>INDEX(Team_Summary!$A$1:$JF$21,MATCH(_xlfn.XLOOKUP($B9,Helpers!$C$4:$C$26,Helpers!$B$4:$B$26,"",0),Team_Summary!$A:$A,0),MATCH("Team_Miscellaneous_Stats_Fls",Team_Summary!$1:$1,0))/INDEX(Team_Summary!$A$1:$JF$21,MATCH(_xlfn.XLOOKUP($B9,Helpers!$C$4:$C$26,Helpers!$B$4:$B$26,"",0),Team_Summary!$A:$A,0),MATCH("Team_League Table_Overall_MP",Team_Summary!$1:$1,0))</f>
        <v/>
      </c>
      <c r="DB9" s="30">
        <f>IF(COUNTIF(DA$4:DA$23,DA9)&gt;1,"T"&amp;_xlfn.RANK.EQ(DA9,DA$4:DA$23,1),_xlfn.RANK.EQ(DA9,DA$4:DA$23,1))</f>
        <v/>
      </c>
      <c r="DC9">
        <f>INDEX(Team_Summary!$A$1:$JF$21,MATCH(_xlfn.XLOOKUP($B9,Helpers!$C$4:$C$26,Helpers!$B$4:$B$26,"",0),Team_Summary!$A:$A,0),MATCH("Team_Miscellaneous_Stats_Fld",Team_Summary!$1:$1,0))/INDEX(Team_Summary!$A$1:$JF$21,MATCH(_xlfn.XLOOKUP($B9,Helpers!$C$4:$C$26,Helpers!$B$4:$B$26,"",0),Team_Summary!$A:$A,0),MATCH("Team_League Table_Overall_MP",Team_Summary!$1:$1,0))</f>
        <v/>
      </c>
      <c r="DD9" s="30">
        <f>IF(COUNTIF(DC$4:DC$23,DC9)&gt;1,"T"&amp;_xlfn.RANK.EQ(DC9,DC$4:DC$23,0),_xlfn.RANK.EQ(DC9,DC$4:DC$23,0))</f>
        <v/>
      </c>
      <c r="DE9">
        <f>INDEX(Team_Summary!$A$1:$JF$21,MATCH(_xlfn.XLOOKUP($B9,Helpers!$C$4:$C$26,Helpers!$B$4:$B$26,"",0),Team_Summary!$A:$A,0),MATCH("Team_Miscellaneous_Stats_Won",Team_Summary!$1:$1,0))/INDEX(Team_Summary!$A$1:$JF$21,MATCH(_xlfn.XLOOKUP($B9,Helpers!$C$4:$C$26,Helpers!$B$4:$B$26,"",0),Team_Summary!$A:$A,0),MATCH("Team_League Table_Overall_MP",Team_Summary!$1:$1,0))</f>
        <v/>
      </c>
      <c r="DF9" s="30">
        <f>IF(COUNTIF(DE$4:DE$23,DE9)&gt;1,"T"&amp;_xlfn.RANK.EQ(DE9,DE$4:DE$23,0),_xlfn.RANK.EQ(DE9,DE$4:DE$23,0))</f>
        <v/>
      </c>
      <c r="DG9">
        <f>INDEX(Team_Summary!$A$1:$JF$21,MATCH(_xlfn.XLOOKUP($B9,Helpers!$C$4:$C$26,Helpers!$B$4:$B$26,"",0),Team_Summary!$A:$A,0),MATCH("Team_Miscellaneous_Stats_Pkwon",Team_Summary!$1:$1,0))</f>
        <v/>
      </c>
      <c r="DH9" s="30">
        <f>IF(COUNTIF(DG$4:DG$23,DG9)&gt;1,"T"&amp;_xlfn.RANK.EQ(DG9,DG$4:DG$23,0),_xlfn.RANK.EQ(DG9,DG$4:DG$23,0))</f>
        <v/>
      </c>
      <c r="DI9">
        <f>INDEX(Team_Summary!$A$1:$JF$21,MATCH(_xlfn.XLOOKUP($B9,Helpers!$C$4:$C$26,Helpers!$B$4:$B$26,"",0),Team_Summary!$A:$A,0),MATCH("Team_Miscellaneous_Stats_Pkcon",Team_Summary!$1:$1,0))</f>
        <v/>
      </c>
      <c r="DJ9" s="30">
        <f>IF(COUNTIF(DI$4:DI$23,DI9)&gt;1,"T"&amp;_xlfn.RANK.EQ(DI9,DI$4:DI$23,1),_xlfn.RANK.EQ(DI9,DI$4:DI$23,1))</f>
        <v/>
      </c>
      <c r="DK9">
        <f>INDEX(Team_Summary!$A$1:$JF$21,MATCH(_xlfn.XLOOKUP($B9,Helpers!$C$4:$C$26,Helpers!$B$4:$B$26,"",0),Team_Summary!$A:$A,0),MATCH("Team_Playing_Time_Age",Team_Summary!$1:$1,0))</f>
        <v/>
      </c>
      <c r="DL9" s="30">
        <f>IF(COUNTIF(DK$4:DK$23,DK9)&gt;1,"T"&amp;_xlfn.RANK.EQ(DK9,DK$4:DK$23,1),_xlfn.RANK.EQ(DK9,DK$4:DK$23,1))</f>
        <v/>
      </c>
    </row>
    <row r="10">
      <c r="B10" t="inlineStr">
        <is>
          <t>CHE</t>
        </is>
      </c>
      <c r="C10">
        <f>INDEX(Team_Summary!$A$1:$JF$21,MATCH(_xlfn.XLOOKUP($B10,Helpers!$C$4:$C$26,Helpers!$B$4:$B$26,"",0),Team_Summary!$A:$A,0),MATCH("Team_League Table_Overall_GF",Team_Summary!$1:$1,0))</f>
        <v/>
      </c>
      <c r="D10" s="30">
        <f>IF(COUNTIF(C$4:C$23,C10)&gt;1,"T"&amp;_xlfn.RANK.EQ(C10,C$4:C$23,0),_xlfn.RANK.EQ(C10,C$4:C$23,0))</f>
        <v/>
      </c>
      <c r="E10">
        <f>INDEX(Team_Summary!$A$1:$JF$21,MATCH(_xlfn.XLOOKUP($B10,Helpers!$C$4:$C$26,Helpers!$B$4:$B$26,"",0),Team_Summary!$A:$A,0),MATCH("Team_League Table_Overall_GA",Team_Summary!$1:$1,0))</f>
        <v/>
      </c>
      <c r="F10" s="30">
        <f>IF(COUNTIF(E$4:E$23,E10)&gt;1,"T"&amp;_xlfn.RANK.EQ(E10,E$4:E$23,1),_xlfn.RANK.EQ(E10,E$4:E$23,1))</f>
        <v/>
      </c>
      <c r="G10">
        <f>INDEX(Team_Summary!$A$1:$JF$21,MATCH(_xlfn.XLOOKUP($B10,Helpers!$C$4:$C$26,Helpers!$B$4:$B$26,"",0),Team_Summary!$A:$A,0),MATCH("Team_League Table_Overall_GD",Team_Summary!$1:$1,0))</f>
        <v/>
      </c>
      <c r="H10" s="30">
        <f>IF(COUNTIF(G$4:G$23,G10)&gt;1,"T"&amp;_xlfn.RANK.EQ(G10,G$4:G$23,0),_xlfn.RANK.EQ(G10,G$4:G$23,0))</f>
        <v/>
      </c>
      <c r="I10" s="27">
        <f>G10/INDEX(Team_Summary!$A$1:$JF$21,MATCH(_xlfn.XLOOKUP($B10,Helpers!$C$4:$C$26,Helpers!$B$4:$B$26,"",0),Team_Summary!$A:$A,0),MATCH("Team_League Table_Overall_MP",Team_Summary!$1:$1,0))</f>
        <v/>
      </c>
      <c r="J10" s="30">
        <f>IF(COUNTIF(I$4:I$23,I10)&gt;1,"T"&amp;_xlfn.RANK.EQ(I10,I$4:I$23,0),_xlfn.RANK.EQ(I10,I$4:I$23,0))</f>
        <v/>
      </c>
      <c r="K10">
        <f>INDEX(Team_Summary!$A$1:$JF$21,MATCH(_xlfn.XLOOKUP($B10,Helpers!$C$4:$C$26,Helpers!$B$4:$B$26,"",0),Team_Summary!$A:$A,0),MATCH("Team_League Table_Home_W",Team_Summary!$1:$1,0))</f>
        <v/>
      </c>
      <c r="L10" s="30">
        <f>IF(COUNTIF(K$4:K$23,K10)&gt;1,"T"&amp;_xlfn.RANK.EQ(K10,K$4:K$23,0),_xlfn.RANK.EQ(K10,K$4:K$23,0))</f>
        <v/>
      </c>
      <c r="M10">
        <f>INDEX(Team_Summary!$A$1:$JF$21,MATCH(_xlfn.XLOOKUP($B10,Helpers!$C$4:$C$26,Helpers!$B$4:$B$26,"",0),Team_Summary!$A:$A,0),MATCH("Team_League Table_Away_W",Team_Summary!$1:$1,0))</f>
        <v/>
      </c>
      <c r="N10" s="30">
        <f>IF(COUNTIF(M$4:M$23,M10)&gt;1,"T"&amp;_xlfn.RANK.EQ(M10,M$4:M$23,0),_xlfn.RANK.EQ(M10,M$4:M$23,0))</f>
        <v/>
      </c>
      <c r="O10">
        <f>INDEX(Team_Summary!$A$1:$JF$21,MATCH(_xlfn.XLOOKUP($B10,Helpers!$C$4:$C$26,Helpers!$B$4:$B$26,"",0),Team_Summary!$A:$A,0),MATCH("Team_League Table_Home_D",Team_Summary!$1:$1,0))</f>
        <v/>
      </c>
      <c r="P10" s="30">
        <f>IF(COUNTIF(O$4:O$23,O10)&gt;1,"T"&amp;_xlfn.RANK.EQ(O10,O$4:O$23,1),_xlfn.RANK.EQ(O10,O$4:O$23,1))</f>
        <v/>
      </c>
      <c r="Q10">
        <f>INDEX(Team_Summary!$A$1:$JF$21,MATCH(_xlfn.XLOOKUP($B10,Helpers!$C$4:$C$26,Helpers!$B$4:$B$26,"",0),Team_Summary!$A:$A,0),MATCH("Team_League Table_Away_D",Team_Summary!$1:$1,0))</f>
        <v/>
      </c>
      <c r="R10" s="30">
        <f>IF(COUNTIF(Q$4:Q$23,Q10)&gt;1,"T"&amp;_xlfn.RANK.EQ(Q10,Q$4:Q$23,1),_xlfn.RANK.EQ(Q10,Q$4:Q$23,1))</f>
        <v/>
      </c>
      <c r="S10">
        <f>INDEX(Team_Summary!$A$1:$JF$21,MATCH(_xlfn.XLOOKUP($B10,Helpers!$C$4:$C$26,Helpers!$B$4:$B$26,"",0),Team_Summary!$A:$A,0),MATCH("Team_League Table_Home_L",Team_Summary!$1:$1,0))</f>
        <v/>
      </c>
      <c r="T10" s="30">
        <f>IF(COUNTIF(S$4:S$23,S10)&gt;1,"T"&amp;_xlfn.RANK.EQ(S10,S$4:S$23,1),_xlfn.RANK.EQ(S10,S$4:S$23,1))</f>
        <v/>
      </c>
      <c r="U10">
        <f>INDEX(Team_Summary!$A$1:$JF$21,MATCH(_xlfn.XLOOKUP($B10,Helpers!$C$4:$C$26,Helpers!$B$4:$B$26,"",0),Team_Summary!$A:$A,0),MATCH("Team_League Table_Away_L",Team_Summary!$1:$1,0))</f>
        <v/>
      </c>
      <c r="V10" s="30">
        <f>IF(COUNTIF(U$4:U$23,U10)&gt;1,"T"&amp;_xlfn.RANK.EQ(U10,U$4:U$23,1),_xlfn.RANK.EQ(U10,U$4:U$23,1))</f>
        <v/>
      </c>
      <c r="W10">
        <f>INDEX(Team_Summary!$A$1:$JF$21,MATCH(_xlfn.XLOOKUP($B10,Helpers!$C$4:$C$26,Helpers!$B$4:$B$26,"",0),Team_Summary!$A:$A,0),MATCH("Team_League Table_Home_Pts",Team_Summary!$1:$1,0))</f>
        <v/>
      </c>
      <c r="X10" s="30">
        <f>IF(COUNTIF(W$4:W$23,W10)&gt;1,"T"&amp;_xlfn.RANK.EQ(W10,W$4:W$23,0),_xlfn.RANK.EQ(W10,W$4:W$23,0))</f>
        <v/>
      </c>
      <c r="Y10">
        <f>INDEX(Team_Summary!$A$1:$JF$21,MATCH(_xlfn.XLOOKUP($B10,Helpers!$C$4:$C$26,Helpers!$B$4:$B$26,"",0),Team_Summary!$A:$A,0),MATCH("Team_League Table_Away_Pts",Team_Summary!$1:$1,0))</f>
        <v/>
      </c>
      <c r="Z10" s="30">
        <f>IF(COUNTIF(Y$4:Y$23,Y10)&gt;1,"T"&amp;_xlfn.RANK.EQ(Y10,Y$4:Y$23,0),_xlfn.RANK.EQ(Y10,Y$4:Y$23,0))</f>
        <v/>
      </c>
      <c r="AA10">
        <f>INDEX(Team_Summary!$A$1:$JF$21,MATCH(_xlfn.XLOOKUP($B10,Helpers!$C$4:$C$26,Helpers!$B$4:$B$26,"",0),Team_Summary!$A:$A,0),MATCH("Team_League Table_Home_Pts/MP",Team_Summary!$1:$1,0))</f>
        <v/>
      </c>
      <c r="AB10" s="30">
        <f>IF(COUNTIF(AA$4:AA$23,AA10)&gt;1,"T"&amp;_xlfn.RANK.EQ(AA10,AA$4:AA$23,0),_xlfn.RANK.EQ(AA10,AA$4:AA$23,0))</f>
        <v/>
      </c>
      <c r="AC10">
        <f>INDEX(Team_Summary!$A$1:$JF$21,MATCH(_xlfn.XLOOKUP($B10,Helpers!$C$4:$C$26,Helpers!$B$4:$B$26,"",0),Team_Summary!$A:$A,0),MATCH("Team_League Table_Away_Pts/MP",Team_Summary!$1:$1,0))</f>
        <v/>
      </c>
      <c r="AD10" s="30">
        <f>IF(COUNTIF(AC$4:AC$23,AC10)&gt;1,"T"&amp;_xlfn.RANK.EQ(AC10,AC$4:AC$23,0),_xlfn.RANK.EQ(AC10,AC$4:AC$23,0))</f>
        <v/>
      </c>
      <c r="AE10">
        <f>INDEX(Team_Summary!$A$1:$JF$21,MATCH(_xlfn.XLOOKUP($B10,Helpers!$C$4:$C$26,Helpers!$B$4:$B$26,"",0),Team_Summary!$A:$A,0),MATCH("Team_League Table_Overall_Pts/MP",Team_Summary!$1:$1,0))</f>
        <v/>
      </c>
      <c r="AF10" s="30">
        <f>IF(COUNTIF(AE$4:AE$23,AE10)&gt;1,"T"&amp;_xlfn.RANK.EQ(AE10,AE$4:AE$23,0),_xlfn.RANK.EQ(AE10,AE$4:AE$23,0))</f>
        <v/>
      </c>
      <c r="AG10">
        <f>INDEX(Team_Summary!$A$1:$JF$21,MATCH(_xlfn.XLOOKUP($B10,Helpers!$C$4:$C$26,Helpers!$B$4:$B$26,"",0),Team_Summary!$A:$A,0),MATCH("Team_League Table_Home_GF",Team_Summary!$1:$1,0))</f>
        <v/>
      </c>
      <c r="AH10" s="30">
        <f>IF(COUNTIF(AG$4:AG$23,AG10)&gt;1,"T"&amp;_xlfn.RANK.EQ(AG10,AG$4:AG$23,0),_xlfn.RANK.EQ(AG10,AG$4:AG$23,0))</f>
        <v/>
      </c>
      <c r="AI10">
        <f>INDEX(Team_Summary!$A$1:$JF$21,MATCH(_xlfn.XLOOKUP($B10,Helpers!$C$4:$C$26,Helpers!$B$4:$B$26,"",0),Team_Summary!$A:$A,0),MATCH("Team_League Table_Away_GF",Team_Summary!$1:$1,0))</f>
        <v/>
      </c>
      <c r="AJ10" s="30">
        <f>IF(COUNTIF(AI$4:AI$23,AI10)&gt;1,"T"&amp;_xlfn.RANK.EQ(AI10,AI$4:AI$23,0),_xlfn.RANK.EQ(AI10,AI$4:AI$23,0))</f>
        <v/>
      </c>
      <c r="AK10">
        <f>INDEX(Team_Summary!$A$1:$JF$21,MATCH(_xlfn.XLOOKUP($B10,Helpers!$C$4:$C$26,Helpers!$B$4:$B$26,"",0),Team_Summary!$A:$A,0),MATCH("Team_League Table_Home_GA",Team_Summary!$1:$1,0))</f>
        <v/>
      </c>
      <c r="AL10" s="30">
        <f>IF(COUNTIF(AK$4:AK$23,AK10)&gt;1,"T"&amp;_xlfn.RANK.EQ(AK10,AK$4:AK$23,1),_xlfn.RANK.EQ(AK10,AK$4:AK$23,1))</f>
        <v/>
      </c>
      <c r="AM10">
        <f>INDEX(Team_Summary!$A$1:$JF$21,MATCH(_xlfn.XLOOKUP($B10,Helpers!$C$4:$C$26,Helpers!$B$4:$B$26,"",0),Team_Summary!$A:$A,0),MATCH("Team_League Table_Away_GA",Team_Summary!$1:$1,0))</f>
        <v/>
      </c>
      <c r="AN10" s="30">
        <f>IF(COUNTIF(AM$4:AM$23,AM10)&gt;1,"T"&amp;_xlfn.RANK.EQ(AM10,AM$4:AM$23,1),_xlfn.RANK.EQ(AM10,AM$4:AM$23,1))</f>
        <v/>
      </c>
      <c r="AO10">
        <f>INDEX(Team_Summary!$A$1:$JF$21,MATCH(_xlfn.XLOOKUP($B10,Helpers!$C$4:$C$26,Helpers!$B$4:$B$26,"",0),Team_Summary!$A:$A,0),MATCH("Team_League Table_Home_GD",Team_Summary!$1:$1,0))</f>
        <v/>
      </c>
      <c r="AP10" s="30">
        <f>IF(COUNTIF(AO$4:AO$23,AO10)&gt;1,"T"&amp;_xlfn.RANK.EQ(AO10,AO$4:AO$23,0),_xlfn.RANK.EQ(AO10,AO$4:AO$23,0))</f>
        <v/>
      </c>
      <c r="AQ10">
        <f>INDEX(Team_Summary!$A$1:$JF$21,MATCH(_xlfn.XLOOKUP($B10,Helpers!$C$4:$C$26,Helpers!$B$4:$B$26,"",0),Team_Summary!$A:$A,0),MATCH("Team_League Table_Away_GD",Team_Summary!$1:$1,0))</f>
        <v/>
      </c>
      <c r="AR10" s="30">
        <f>IF(COUNTIF(AQ$4:AQ$23,AQ10)&gt;1,"T"&amp;_xlfn.RANK.EQ(AQ10,AQ$4:AQ$23,0),_xlfn.RANK.EQ(AQ10,AQ$4:AQ$23,0))</f>
        <v/>
      </c>
      <c r="AS10">
        <f>INDEX(Team_Summary!$A$1:$JF$21,MATCH(_xlfn.XLOOKUP($B10,Helpers!$C$4:$C$26,Helpers!$B$4:$B$26,"",0),Team_Summary!$A:$A,0),MATCH("Team_Standard_Stats_Gls",Team_Summary!$1:$1,0))</f>
        <v/>
      </c>
      <c r="AT10" s="30">
        <f>IF(COUNTIF(AS$4:AS$23,AS10)&gt;1,"T"&amp;_xlfn.RANK.EQ(AS10,AS$4:AS$23,0),_xlfn.RANK.EQ(AS10,AS$4:AS$23,0))</f>
        <v/>
      </c>
      <c r="AU10" s="27">
        <f>C10/INDEX(Team_Summary!$A$1:$JF$21,MATCH(_xlfn.XLOOKUP($B10,Helpers!$C$4:$C$26,Helpers!$B$4:$B$26,"",0),Team_Summary!$A:$A,0),MATCH("Team_League Table_Overall_MP",Team_Summary!$1:$1,0))</f>
        <v/>
      </c>
      <c r="AV10" s="30">
        <f>IF(COUNTIF(AU$4:AU$23,AU10)&gt;1,"T"&amp;_xlfn.RANK.EQ(AU10,AU$4:AU$23,0),_xlfn.RANK.EQ(AU10,AU$4:AU$23,0))</f>
        <v/>
      </c>
      <c r="AW10">
        <f>INDEX(Team_Summary!$A$1:$JF$21,MATCH(_xlfn.XLOOKUP($B10,Helpers!$C$4:$C$26,Helpers!$B$4:$B$26,"",0),Team_Summary!$A:$A,0),MATCH("Team_Standard_Stats_G-PK",Team_Summary!$1:$1,0))</f>
        <v/>
      </c>
      <c r="AX10" s="30">
        <f>IF(COUNTIF(AW$4:AW$23,AW10)&gt;1,"T"&amp;_xlfn.RANK.EQ(AW10,AW$4:AW$23,0),_xlfn.RANK.EQ(AW10,AW$4:AW$23,0))</f>
        <v/>
      </c>
      <c r="AY10">
        <f>INDEX(Team_Summary!$A$1:$JF$21,MATCH(_xlfn.XLOOKUP($B10,Helpers!$C$4:$C$26,Helpers!$B$4:$B$26,"",0),Team_Summary!$A:$A,0),MATCH("Team_Standard_Stats_PK",Team_Summary!$1:$1,0))</f>
        <v/>
      </c>
      <c r="AZ10" s="30">
        <f>IF(COUNTIF(AY$4:AY$23,AY10)&gt;1,"T"&amp;_xlfn.RANK.EQ(AY10,AY$4:AY$23,0),_xlfn.RANK.EQ(AY10,AY$4:AY$23,0))</f>
        <v/>
      </c>
      <c r="BA10">
        <f>INDEX(Team_Summary!$A$1:$JF$21,MATCH(_xlfn.XLOOKUP($B10,Helpers!$C$4:$C$26,Helpers!$B$4:$B$26,"",0),Team_Summary!$A:$A,0),MATCH("Team_Standard_Stats_Ast.1",Team_Summary!$1:$1,0))</f>
        <v/>
      </c>
      <c r="BB10" s="30">
        <f>IF(COUNTIF(BA$4:BA$23,BA10)&gt;1,"T"&amp;_xlfn.RANK.EQ(BA10,BA$4:BA$23,0),_xlfn.RANK.EQ(BA10,BA$4:BA$23,0))</f>
        <v/>
      </c>
      <c r="BC10">
        <f>INDEX(Team_Summary!$A$1:$JF$21,MATCH(_xlfn.XLOOKUP($B10,Helpers!$C$4:$C$26,Helpers!$B$4:$B$26,"",0),Team_Summary!$A:$A,0),MATCH("Team_Standard_Stats_Ast",Team_Summary!$1:$1,0))</f>
        <v/>
      </c>
      <c r="BD10" s="30">
        <f>IF(COUNTIF(BC$4:BC$23,BC10)&gt;1,"T"&amp;_xlfn.RANK.EQ(BC10,BC$4:BC$23,0),_xlfn.RANK.EQ(BC10,BC$4:BC$23,0))</f>
        <v/>
      </c>
      <c r="BE10">
        <f>INDEX(Team_Summary!$A$1:$JF$21,MATCH(_xlfn.XLOOKUP($B10,Helpers!$C$4:$C$26,Helpers!$B$4:$B$26,"",0),Team_Summary!$A:$A,0),MATCH("Team_Miscellaneous_Stats_CrdY",Team_Summary!$1:$1,0))</f>
        <v/>
      </c>
      <c r="BF10" s="30">
        <f>IF(COUNTIF(BE$4:BE$23,BE10)&gt;1,"T"&amp;_xlfn.RANK.EQ(BE10,BE$4:BE$23,1),_xlfn.RANK.EQ(BE10,BE$4:BE$23,1))</f>
        <v/>
      </c>
      <c r="BG10" s="35">
        <f>BE10/INDEX(Team_Summary!$A$1:$JF$21,MATCH(_xlfn.XLOOKUP($B10,Helpers!$C$4:$C$26,Helpers!$B$4:$B$26,"",0),Team_Summary!$A:$A,0),MATCH("Team_League Table_Overall_MP",Team_Summary!$1:$1,0))</f>
        <v/>
      </c>
      <c r="BH10" s="30">
        <f>IF(COUNTIF(BG$4:BG$23,BG10)&gt;1,"T"&amp;_xlfn.RANK.EQ(BG10,BG$4:BG$23,1),_xlfn.RANK.EQ(BG10,BG$4:BG$23,1))</f>
        <v/>
      </c>
      <c r="BI10">
        <f>INDEX(Team_Summary!$A$1:$JF$21,MATCH(_xlfn.XLOOKUP($B10,Helpers!$C$4:$C$26,Helpers!$B$4:$B$26,"",0),Team_Summary!$A:$A,0),MATCH("Team_Miscellaneous_Stats_CrdR",Team_Summary!$1:$1,0))/INDEX(Team_Summary!$A$1:$JF$21,MATCH(_xlfn.XLOOKUP($B10,Helpers!$C$4:$C$26,Helpers!$B$4:$B$26,"",0),Team_Summary!$A:$A,0),MATCH("Team_League Table_Overall_MP",Team_Summary!$1:$1,0))</f>
        <v/>
      </c>
      <c r="BJ10" s="30">
        <f>IF(COUNTIF(BI$4:BI$23,BI10)&gt;1,"T"&amp;_xlfn.RANK.EQ(BI10,BI$4:BI$23,1),_xlfn.RANK.EQ(BI10,BI$4:BI$23,1))</f>
        <v/>
      </c>
      <c r="BK10">
        <f>INDEX(Team_Summary!$A$1:$JF$21,MATCH(_xlfn.XLOOKUP($B10,Helpers!$C$4:$C$26,Helpers!$B$4:$B$26,"",0),Team_Summary!$A:$A,0),MATCH("Team_Goalkeeping_SoTA",Team_Summary!$1:$1,0))/INDEX(Team_Summary!$A$1:$JF$21,MATCH(_xlfn.XLOOKUP($B10,Helpers!$C$4:$C$26,Helpers!$B$4:$B$26,"",0),Team_Summary!$A:$A,0),MATCH("Team_League Table_Overall_MP",Team_Summary!$1:$1,0))</f>
        <v/>
      </c>
      <c r="BL10" s="30">
        <f>IF(COUNTIF(BK$4:BK$23,BK10)&gt;1,"T"&amp;_xlfn.RANK.EQ(BK10,BK$4:BK$23,1),_xlfn.RANK.EQ(BK10,BK$4:BK$23,1))</f>
        <v/>
      </c>
      <c r="BM10">
        <f>INDEX(Team_Summary!$A$1:$JF$21,MATCH(_xlfn.XLOOKUP($B10,Helpers!$C$4:$C$26,Helpers!$B$4:$B$26,"",0),Team_Summary!$A:$A,0),MATCH("Team_Goalkeeping_Save%",Team_Summary!$1:$1,0))</f>
        <v/>
      </c>
      <c r="BN10" s="30">
        <f>IF(COUNTIF(BM$4:BM$23,BM10)&gt;1,"T"&amp;_xlfn.RANK.EQ(BM10,BM$4:BM$23,0),_xlfn.RANK.EQ(BM10,BM$4:BM$23,0))</f>
        <v/>
      </c>
      <c r="BO10">
        <f>INDEX(Team_Summary!$A$1:$JF$21,MATCH(_xlfn.XLOOKUP($B10,Helpers!$C$4:$C$26,Helpers!$B$4:$B$26,"",0),Team_Summary!$A:$A,0),MATCH("Team_Goalkeeping_CS%",Team_Summary!$1:$1,0))</f>
        <v/>
      </c>
      <c r="BP10" s="30">
        <f>IF(COUNTIF(BO$4:BO$23,BO10)&gt;1,"T"&amp;_xlfn.RANK.EQ(BO10,BO$4:BO$23,0),_xlfn.RANK.EQ(BO10,BO$4:BO$23,0))</f>
        <v/>
      </c>
      <c r="BQ10">
        <f>INDEX(Team_Summary!$A$1:$JF$21,MATCH(_xlfn.XLOOKUP($B10,Helpers!$C$4:$C$26,Helpers!$B$4:$B$26,"",0),Team_Summary!$A:$A,0),MATCH("Team_Goalkeeping_Save%.1",Team_Summary!$1:$1,0))</f>
        <v/>
      </c>
      <c r="BR10" s="30">
        <f>IF(COUNTIF(BQ$4:BQ$23,BQ10)&gt;1,"T"&amp;_xlfn.RANK.EQ(BQ10,BQ$4:BQ$23,0),_xlfn.RANK.EQ(BQ10,BQ$4:BQ$23,0))</f>
        <v/>
      </c>
      <c r="BS10">
        <f>INDEX(Team_Summary!$A$1:$JF$21,MATCH(_xlfn.XLOOKUP($B10,Helpers!$C$4:$C$26,Helpers!$B$4:$B$26,"",0),Team_Summary!$A:$A,0),MATCH("Team_Advanced_Goalkeeping_FK",Team_Summary!$1:$1,0))</f>
        <v/>
      </c>
      <c r="BT10" s="30">
        <f>IF(COUNTIF(BS$4:BS$23,BS10)&gt;1,"T"&amp;_xlfn.RANK.EQ(BS10,BS$4:BS$23,1),_xlfn.RANK.EQ(BS10,BS$4:BS$23,1))</f>
        <v/>
      </c>
      <c r="BU10">
        <f>INDEX(Team_Summary!$A$1:$JF$21,MATCH(_xlfn.XLOOKUP($B10,Helpers!$C$4:$C$26,Helpers!$B$4:$B$26,"",0),Team_Summary!$A:$A,0),MATCH("Team_Advanced_Goalkeeping_CK",Team_Summary!$1:$1,0))</f>
        <v/>
      </c>
      <c r="BV10" s="30">
        <f>IF(COUNTIF(BU$4:BU$23,BU10)&gt;1,"T"&amp;_xlfn.RANK.EQ(BU10,BU$4:BU$23,1),_xlfn.RANK.EQ(BU10,BU$4:BU$23,1))</f>
        <v/>
      </c>
      <c r="BW10">
        <f>INDEX(Team_Summary!$A$1:$JF$21,MATCH(_xlfn.XLOOKUP($B10,Helpers!$C$4:$C$26,Helpers!$B$4:$B$26,"",0),Team_Summary!$A:$A,0),MATCH("Team_Advanced_Goalkeeping_Stp%",Team_Summary!$1:$1,0))</f>
        <v/>
      </c>
      <c r="BX10" s="30">
        <f>IF(COUNTIF(BW$4:BW$23,BW10)&gt;1,"T"&amp;_xlfn.RANK.EQ(BW10,BW$4:BW$23,0),_xlfn.RANK.EQ(BW10,BW$4:BW$23,0))</f>
        <v/>
      </c>
      <c r="BY10">
        <f>INDEX(Team_Summary!$A$1:$JF$21,MATCH(_xlfn.XLOOKUP($B10,Helpers!$C$4:$C$26,Helpers!$B$4:$B$26,"",0),Team_Summary!$A:$A,0),MATCH("Team_Shooting_G/SoT",Team_Summary!$1:$1,0))</f>
        <v/>
      </c>
      <c r="BZ10" s="30">
        <f>IF(COUNTIF(BY$4:BY$23,BY10)&gt;1,"T"&amp;_xlfn.RANK.EQ(BY10,BY$4:BY$23,0),_xlfn.RANK.EQ(BY10,BY$4:BY$23,0))</f>
        <v/>
      </c>
      <c r="CA10">
        <f>INDEX(Team_Summary!$A$1:$JF$21,MATCH(_xlfn.XLOOKUP($B10,Helpers!$C$4:$C$26,Helpers!$B$4:$B$26,"",0),Team_Summary!$A:$A,0),MATCH("Team_Shooting_G/Sh",Team_Summary!$1:$1,0))</f>
        <v/>
      </c>
      <c r="CB10" s="30">
        <f>IF(COUNTIF(CA$4:CA$23,CA10)&gt;1,"T"&amp;_xlfn.RANK.EQ(CA10,CA$4:CA$23,0),_xlfn.RANK.EQ(CA10,CA$4:CA$23,0))</f>
        <v/>
      </c>
      <c r="CC10">
        <f>INDEX(Team_Summary!$A$1:$JF$21,MATCH(_xlfn.XLOOKUP($B10,Helpers!$C$4:$C$26,Helpers!$B$4:$B$26,"",0),Team_Summary!$A:$A,0),MATCH("Team_Shooting_SoT",Team_Summary!$1:$1,0))/INDEX(Team_Summary!$A$1:$JF$21,MATCH(_xlfn.XLOOKUP($B10,Helpers!$C$4:$C$26,Helpers!$B$4:$B$26,"",0),Team_Summary!$A:$A,0),MATCH("Team_League Table_Overall_MP",Team_Summary!$1:$1,0))</f>
        <v/>
      </c>
      <c r="CD10" s="30">
        <f>IF(COUNTIF(CC$4:CC$23,CC10)&gt;1,"T"&amp;_xlfn.RANK.EQ(CC10,CC$4:CC$23,0),_xlfn.RANK.EQ(CC10,CC$4:CC$23,0))</f>
        <v/>
      </c>
      <c r="CE10">
        <f>INDEX(Team_Summary!$A$1:$JF$21,MATCH(_xlfn.XLOOKUP($B10,Helpers!$C$4:$C$26,Helpers!$B$4:$B$26,"",0),Team_Summary!$A:$A,0),MATCH("Team_Shooting_SoT%",Team_Summary!$1:$1,0))</f>
        <v/>
      </c>
      <c r="CF10" s="30">
        <f>IF(COUNTIF(CE$4:CE$23,CE10)&gt;1,"T"&amp;_xlfn.RANK.EQ(CE10,CE$4:CE$23,0),_xlfn.RANK.EQ(CE10,CE$4:CE$23,0))</f>
        <v/>
      </c>
      <c r="CG10">
        <f>INDEX(Team_Summary!$A$1:$JF$21,MATCH(_xlfn.XLOOKUP($B10,Helpers!$C$4:$C$26,Helpers!$B$4:$B$26,"",0),Team_Summary!$A:$A,0),MATCH("Team_Pass_Types_CK",Team_Summary!$1:$1,0))/INDEX(Team_Summary!$A$1:$JF$21,MATCH(_xlfn.XLOOKUP($B10,Helpers!$C$4:$C$26,Helpers!$B$4:$B$26,"",0),Team_Summary!$A:$A,0),MATCH("Team_League Table_Overall_MP",Team_Summary!$1:$1,0))</f>
        <v/>
      </c>
      <c r="CH10" s="30">
        <f>IF(COUNTIF(CG$4:CG$23,CG10)&gt;1,"T"&amp;_xlfn.RANK.EQ(CG10,CG$4:CG$23,0),_xlfn.RANK.EQ(CG10,CG$4:CG$23,0))</f>
        <v/>
      </c>
      <c r="CI10">
        <f>INDEX(Team_Summary!$A$1:$JF$21,MATCH(_xlfn.XLOOKUP($B10,Helpers!$C$4:$C$26,Helpers!$B$4:$B$26,"",0),Team_Summary!$A:$A,0),MATCH("Team_Miscellaneous_Stats_TklW",Team_Summary!$1:$1,0))/INDEX(Team_Summary!$A$1:$JF$21,MATCH(_xlfn.XLOOKUP($B10,Helpers!$C$4:$C$26,Helpers!$B$4:$B$26,"",0),Team_Summary!$A:$A,0),MATCH("Team_League Table_Overall_MP",Team_Summary!$1:$1,0))</f>
        <v/>
      </c>
      <c r="CJ10" s="30">
        <f>IF(COUNTIF(CI$4:CI$23,CI10)&gt;1,"T"&amp;_xlfn.RANK.EQ(CI10,CI$4:CI$23,0),_xlfn.RANK.EQ(CI10,CI$4:CI$23,0))</f>
        <v/>
      </c>
      <c r="CK10">
        <f>INDEX(Team_Summary!$A$1:$JF$21,MATCH(_xlfn.XLOOKUP($B10,Helpers!$C$4:$C$26,Helpers!$B$4:$B$26,"",0),Team_Summary!$A:$A,0),MATCH("Team_Defensive_Actions_Sh",Team_Summary!$1:$1,0))/INDEX(Team_Summary!$A$1:$JF$21,MATCH(_xlfn.XLOOKUP($B10,Helpers!$C$4:$C$26,Helpers!$B$4:$B$26,"",0),Team_Summary!$A:$A,0),MATCH("Team_League Table_Overall_MP",Team_Summary!$1:$1,0))</f>
        <v/>
      </c>
      <c r="CL10" s="30">
        <f>IF(COUNTIF(CK$4:CK$23,CK10)&gt;1,"T"&amp;_xlfn.RANK.EQ(CK10,CK$4:CK$23,0),_xlfn.RANK.EQ(CK10,CK$4:CK$23,0))</f>
        <v/>
      </c>
      <c r="CM10">
        <f>INDEX(Team_Summary!$A$1:$JF$21,MATCH(_xlfn.XLOOKUP($B10,Helpers!$C$4:$C$26,Helpers!$B$4:$B$26,"",0),Team_Summary!$A:$A,0),MATCH("Team_Defensive_Actions_Int",Team_Summary!$1:$1,0))/INDEX(Team_Summary!$A$1:$JF$21,MATCH(_xlfn.XLOOKUP($B10,Helpers!$C$4:$C$26,Helpers!$B$4:$B$26,"",0),Team_Summary!$A:$A,0),MATCH("Team_League Table_Overall_MP",Team_Summary!$1:$1,0))</f>
        <v/>
      </c>
      <c r="CN10" s="30">
        <f>IF(COUNTIF(CM$4:CM$23,CM10)&gt;1,"T"&amp;_xlfn.RANK.EQ(CM10,CM$4:CM$23,0),_xlfn.RANK.EQ(CM10,CM$4:CM$23,0))</f>
        <v/>
      </c>
      <c r="CO10">
        <f>INDEX(Team_Summary!$A$1:$JF$21,MATCH(_xlfn.XLOOKUP($B10,Helpers!$C$4:$C$26,Helpers!$B$4:$B$26,"",0),Team_Summary!$A:$A,0),MATCH("Team_Possession_Poss",Team_Summary!$1:$1,0))</f>
        <v/>
      </c>
      <c r="CP10" s="30">
        <f>IF(COUNTIF(CO$4:CO$23,CO10)&gt;1,"T"&amp;_xlfn.RANK.EQ(CO10,CO$4:CO$23,0),_xlfn.RANK.EQ(CO10,CO$4:CO$23,0))</f>
        <v/>
      </c>
      <c r="CQ10">
        <f>INDEX(Team_Summary!$A$1:$JF$21,MATCH(_xlfn.XLOOKUP($B10,Helpers!$C$4:$C$26,Helpers!$B$4:$B$26,"",0),Team_Summary!$A:$A,0),MATCH("Team_Possession_Def Pen",Team_Summary!$1:$1,0))/INDEX(Team_Summary!$A$1:$JF$21,MATCH(_xlfn.XLOOKUP($B10,Helpers!$C$4:$C$26,Helpers!$B$4:$B$26,"",0),Team_Summary!$A:$A,0),MATCH("Team_League Table_Overall_MP",Team_Summary!$1:$1,0))</f>
        <v/>
      </c>
      <c r="CR10" s="30">
        <f>IF(COUNTIF(CQ$4:CQ$23,CQ10)&gt;1,"T"&amp;_xlfn.RANK.EQ(CQ10,CQ$4:CQ$23,0),_xlfn.RANK.EQ(CQ10,CQ$4:CQ$23,0))</f>
        <v/>
      </c>
      <c r="CS10">
        <f>INDEX(Team_Summary!$A$1:$JF$21,MATCH(_xlfn.XLOOKUP($B10,Helpers!$C$4:$C$26,Helpers!$B$4:$B$26,"",0),Team_Summary!$A:$A,0),MATCH("Team_Possession_Def 3rd",Team_Summary!$1:$1,0))/INDEX(Team_Summary!$A$1:$JF$21,MATCH(_xlfn.XLOOKUP($B10,Helpers!$C$4:$C$26,Helpers!$B$4:$B$26,"",0),Team_Summary!$A:$A,0),MATCH("Team_League Table_Overall_MP",Team_Summary!$1:$1,0))</f>
        <v/>
      </c>
      <c r="CT10" s="30">
        <f>IF(COUNTIF(CS$4:CS$23,CS10)&gt;1,"T"&amp;_xlfn.RANK.EQ(CS10,CS$4:CS$23,0),_xlfn.RANK.EQ(CS10,CS$4:CS$23,0))</f>
        <v/>
      </c>
      <c r="CU10">
        <f>INDEX(Team_Summary!$A$1:$JF$21,MATCH(_xlfn.XLOOKUP($B10,Helpers!$C$4:$C$26,Helpers!$B$4:$B$26,"",0),Team_Summary!$A:$A,0),MATCH("Team_Possession_Mid 3rd",Team_Summary!$1:$1,0))/INDEX(Team_Summary!$A$1:$JF$21,MATCH(_xlfn.XLOOKUP($B10,Helpers!$C$4:$C$26,Helpers!$B$4:$B$26,"",0),Team_Summary!$A:$A,0),MATCH("Team_League Table_Overall_MP",Team_Summary!$1:$1,0))</f>
        <v/>
      </c>
      <c r="CV10" s="30">
        <f>IF(COUNTIF(CU$4:CU$23,CU10)&gt;1,"T"&amp;_xlfn.RANK.EQ(CU10,CU$4:CU$23,0),_xlfn.RANK.EQ(CU10,CU$4:CU$23,0))</f>
        <v/>
      </c>
      <c r="CW10">
        <f>INDEX(Team_Summary!$A$1:$JF$21,MATCH(_xlfn.XLOOKUP($B10,Helpers!$C$4:$C$26,Helpers!$B$4:$B$26,"",0),Team_Summary!$A:$A,0),MATCH("Team_Possession_Att 3rd",Team_Summary!$1:$1,0))/INDEX(Team_Summary!$A$1:$JF$21,MATCH(_xlfn.XLOOKUP($B10,Helpers!$C$4:$C$26,Helpers!$B$4:$B$26,"",0),Team_Summary!$A:$A,0),MATCH("Team_League Table_Overall_MP",Team_Summary!$1:$1,0))</f>
        <v/>
      </c>
      <c r="CX10" s="30">
        <f>IF(COUNTIF(CW$4:CW$23,CW10)&gt;1,"T"&amp;_xlfn.RANK.EQ(CW10,CW$4:CW$23,0),_xlfn.RANK.EQ(CW10,CW$4:CW$23,0))</f>
        <v/>
      </c>
      <c r="CY10">
        <f>INDEX(Team_Summary!$A$1:$JF$21,MATCH(_xlfn.XLOOKUP($B10,Helpers!$C$4:$C$26,Helpers!$B$4:$B$26,"",0),Team_Summary!$A:$A,0),MATCH("Team_Possession_Att Pen",Team_Summary!$1:$1,0))/INDEX(Team_Summary!$A$1:$JF$21,MATCH(_xlfn.XLOOKUP($B10,Helpers!$C$4:$C$26,Helpers!$B$4:$B$26,"",0),Team_Summary!$A:$A,0),MATCH("Team_League Table_Overall_MP",Team_Summary!$1:$1,0))</f>
        <v/>
      </c>
      <c r="CZ10" s="30">
        <f>IF(COUNTIF(CY$4:CY$23,CY10)&gt;1,"T"&amp;_xlfn.RANK.EQ(CY10,CY$4:CY$23,0),_xlfn.RANK.EQ(CY10,CY$4:CY$23,0))</f>
        <v/>
      </c>
      <c r="DA10">
        <f>INDEX(Team_Summary!$A$1:$JF$21,MATCH(_xlfn.XLOOKUP($B10,Helpers!$C$4:$C$26,Helpers!$B$4:$B$26,"",0),Team_Summary!$A:$A,0),MATCH("Team_Miscellaneous_Stats_Fls",Team_Summary!$1:$1,0))/INDEX(Team_Summary!$A$1:$JF$21,MATCH(_xlfn.XLOOKUP($B10,Helpers!$C$4:$C$26,Helpers!$B$4:$B$26,"",0),Team_Summary!$A:$A,0),MATCH("Team_League Table_Overall_MP",Team_Summary!$1:$1,0))</f>
        <v/>
      </c>
      <c r="DB10" s="30">
        <f>IF(COUNTIF(DA$4:DA$23,DA10)&gt;1,"T"&amp;_xlfn.RANK.EQ(DA10,DA$4:DA$23,1),_xlfn.RANK.EQ(DA10,DA$4:DA$23,1))</f>
        <v/>
      </c>
      <c r="DC10">
        <f>INDEX(Team_Summary!$A$1:$JF$21,MATCH(_xlfn.XLOOKUP($B10,Helpers!$C$4:$C$26,Helpers!$B$4:$B$26,"",0),Team_Summary!$A:$A,0),MATCH("Team_Miscellaneous_Stats_Fld",Team_Summary!$1:$1,0))/INDEX(Team_Summary!$A$1:$JF$21,MATCH(_xlfn.XLOOKUP($B10,Helpers!$C$4:$C$26,Helpers!$B$4:$B$26,"",0),Team_Summary!$A:$A,0),MATCH("Team_League Table_Overall_MP",Team_Summary!$1:$1,0))</f>
        <v/>
      </c>
      <c r="DD10" s="30">
        <f>IF(COUNTIF(DC$4:DC$23,DC10)&gt;1,"T"&amp;_xlfn.RANK.EQ(DC10,DC$4:DC$23,0),_xlfn.RANK.EQ(DC10,DC$4:DC$23,0))</f>
        <v/>
      </c>
      <c r="DE10">
        <f>INDEX(Team_Summary!$A$1:$JF$21,MATCH(_xlfn.XLOOKUP($B10,Helpers!$C$4:$C$26,Helpers!$B$4:$B$26,"",0),Team_Summary!$A:$A,0),MATCH("Team_Miscellaneous_Stats_Won",Team_Summary!$1:$1,0))/INDEX(Team_Summary!$A$1:$JF$21,MATCH(_xlfn.XLOOKUP($B10,Helpers!$C$4:$C$26,Helpers!$B$4:$B$26,"",0),Team_Summary!$A:$A,0),MATCH("Team_League Table_Overall_MP",Team_Summary!$1:$1,0))</f>
        <v/>
      </c>
      <c r="DF10" s="30">
        <f>IF(COUNTIF(DE$4:DE$23,DE10)&gt;1,"T"&amp;_xlfn.RANK.EQ(DE10,DE$4:DE$23,0),_xlfn.RANK.EQ(DE10,DE$4:DE$23,0))</f>
        <v/>
      </c>
      <c r="DG10">
        <f>INDEX(Team_Summary!$A$1:$JF$21,MATCH(_xlfn.XLOOKUP($B10,Helpers!$C$4:$C$26,Helpers!$B$4:$B$26,"",0),Team_Summary!$A:$A,0),MATCH("Team_Miscellaneous_Stats_Pkwon",Team_Summary!$1:$1,0))</f>
        <v/>
      </c>
      <c r="DH10" s="30">
        <f>IF(COUNTIF(DG$4:DG$23,DG10)&gt;1,"T"&amp;_xlfn.RANK.EQ(DG10,DG$4:DG$23,0),_xlfn.RANK.EQ(DG10,DG$4:DG$23,0))</f>
        <v/>
      </c>
      <c r="DI10">
        <f>INDEX(Team_Summary!$A$1:$JF$21,MATCH(_xlfn.XLOOKUP($B10,Helpers!$C$4:$C$26,Helpers!$B$4:$B$26,"",0),Team_Summary!$A:$A,0),MATCH("Team_Miscellaneous_Stats_Pkcon",Team_Summary!$1:$1,0))</f>
        <v/>
      </c>
      <c r="DJ10" s="30">
        <f>IF(COUNTIF(DI$4:DI$23,DI10)&gt;1,"T"&amp;_xlfn.RANK.EQ(DI10,DI$4:DI$23,1),_xlfn.RANK.EQ(DI10,DI$4:DI$23,1))</f>
        <v/>
      </c>
      <c r="DK10">
        <f>INDEX(Team_Summary!$A$1:$JF$21,MATCH(_xlfn.XLOOKUP($B10,Helpers!$C$4:$C$26,Helpers!$B$4:$B$26,"",0),Team_Summary!$A:$A,0),MATCH("Team_Playing_Time_Age",Team_Summary!$1:$1,0))</f>
        <v/>
      </c>
      <c r="DL10" s="30">
        <f>IF(COUNTIF(DK$4:DK$23,DK10)&gt;1,"T"&amp;_xlfn.RANK.EQ(DK10,DK$4:DK$23,1),_xlfn.RANK.EQ(DK10,DK$4:DK$23,1))</f>
        <v/>
      </c>
    </row>
    <row r="11">
      <c r="B11" t="inlineStr">
        <is>
          <t>CRY</t>
        </is>
      </c>
      <c r="C11">
        <f>INDEX(Team_Summary!$A$1:$JF$21,MATCH(_xlfn.XLOOKUP($B11,Helpers!$C$4:$C$26,Helpers!$B$4:$B$26,"",0),Team_Summary!$A:$A,0),MATCH("Team_League Table_Overall_GF",Team_Summary!$1:$1,0))</f>
        <v/>
      </c>
      <c r="D11" s="30">
        <f>IF(COUNTIF(C$4:C$23,C11)&gt;1,"T"&amp;_xlfn.RANK.EQ(C11,C$4:C$23,0),_xlfn.RANK.EQ(C11,C$4:C$23,0))</f>
        <v/>
      </c>
      <c r="E11">
        <f>INDEX(Team_Summary!$A$1:$JF$21,MATCH(_xlfn.XLOOKUP($B11,Helpers!$C$4:$C$26,Helpers!$B$4:$B$26,"",0),Team_Summary!$A:$A,0),MATCH("Team_League Table_Overall_GA",Team_Summary!$1:$1,0))</f>
        <v/>
      </c>
      <c r="F11" s="30">
        <f>IF(COUNTIF(E$4:E$23,E11)&gt;1,"T"&amp;_xlfn.RANK.EQ(E11,E$4:E$23,1),_xlfn.RANK.EQ(E11,E$4:E$23,1))</f>
        <v/>
      </c>
      <c r="G11">
        <f>INDEX(Team_Summary!$A$1:$JF$21,MATCH(_xlfn.XLOOKUP($B11,Helpers!$C$4:$C$26,Helpers!$B$4:$B$26,"",0),Team_Summary!$A:$A,0),MATCH("Team_League Table_Overall_GD",Team_Summary!$1:$1,0))</f>
        <v/>
      </c>
      <c r="H11" s="30">
        <f>IF(COUNTIF(G$4:G$23,G11)&gt;1,"T"&amp;_xlfn.RANK.EQ(G11,G$4:G$23,0),_xlfn.RANK.EQ(G11,G$4:G$23,0))</f>
        <v/>
      </c>
      <c r="I11" s="27">
        <f>G11/INDEX(Team_Summary!$A$1:$JF$21,MATCH(_xlfn.XLOOKUP($B11,Helpers!$C$4:$C$26,Helpers!$B$4:$B$26,"",0),Team_Summary!$A:$A,0),MATCH("Team_League Table_Overall_MP",Team_Summary!$1:$1,0))</f>
        <v/>
      </c>
      <c r="J11" s="30">
        <f>IF(COUNTIF(I$4:I$23,I11)&gt;1,"T"&amp;_xlfn.RANK.EQ(I11,I$4:I$23,0),_xlfn.RANK.EQ(I11,I$4:I$23,0))</f>
        <v/>
      </c>
      <c r="K11">
        <f>INDEX(Team_Summary!$A$1:$JF$21,MATCH(_xlfn.XLOOKUP($B11,Helpers!$C$4:$C$26,Helpers!$B$4:$B$26,"",0),Team_Summary!$A:$A,0),MATCH("Team_League Table_Home_W",Team_Summary!$1:$1,0))</f>
        <v/>
      </c>
      <c r="L11" s="30">
        <f>IF(COUNTIF(K$4:K$23,K11)&gt;1,"T"&amp;_xlfn.RANK.EQ(K11,K$4:K$23,0),_xlfn.RANK.EQ(K11,K$4:K$23,0))</f>
        <v/>
      </c>
      <c r="M11">
        <f>INDEX(Team_Summary!$A$1:$JF$21,MATCH(_xlfn.XLOOKUP($B11,Helpers!$C$4:$C$26,Helpers!$B$4:$B$26,"",0),Team_Summary!$A:$A,0),MATCH("Team_League Table_Away_W",Team_Summary!$1:$1,0))</f>
        <v/>
      </c>
      <c r="N11" s="30">
        <f>IF(COUNTIF(M$4:M$23,M11)&gt;1,"T"&amp;_xlfn.RANK.EQ(M11,M$4:M$23,0),_xlfn.RANK.EQ(M11,M$4:M$23,0))</f>
        <v/>
      </c>
      <c r="O11">
        <f>INDEX(Team_Summary!$A$1:$JF$21,MATCH(_xlfn.XLOOKUP($B11,Helpers!$C$4:$C$26,Helpers!$B$4:$B$26,"",0),Team_Summary!$A:$A,0),MATCH("Team_League Table_Home_D",Team_Summary!$1:$1,0))</f>
        <v/>
      </c>
      <c r="P11" s="30">
        <f>IF(COUNTIF(O$4:O$23,O11)&gt;1,"T"&amp;_xlfn.RANK.EQ(O11,O$4:O$23,1),_xlfn.RANK.EQ(O11,O$4:O$23,1))</f>
        <v/>
      </c>
      <c r="Q11">
        <f>INDEX(Team_Summary!$A$1:$JF$21,MATCH(_xlfn.XLOOKUP($B11,Helpers!$C$4:$C$26,Helpers!$B$4:$B$26,"",0),Team_Summary!$A:$A,0),MATCH("Team_League Table_Away_D",Team_Summary!$1:$1,0))</f>
        <v/>
      </c>
      <c r="R11" s="30">
        <f>IF(COUNTIF(Q$4:Q$23,Q11)&gt;1,"T"&amp;_xlfn.RANK.EQ(Q11,Q$4:Q$23,1),_xlfn.RANK.EQ(Q11,Q$4:Q$23,1))</f>
        <v/>
      </c>
      <c r="S11">
        <f>INDEX(Team_Summary!$A$1:$JF$21,MATCH(_xlfn.XLOOKUP($B11,Helpers!$C$4:$C$26,Helpers!$B$4:$B$26,"",0),Team_Summary!$A:$A,0),MATCH("Team_League Table_Home_L",Team_Summary!$1:$1,0))</f>
        <v/>
      </c>
      <c r="T11" s="30">
        <f>IF(COUNTIF(S$4:S$23,S11)&gt;1,"T"&amp;_xlfn.RANK.EQ(S11,S$4:S$23,1),_xlfn.RANK.EQ(S11,S$4:S$23,1))</f>
        <v/>
      </c>
      <c r="U11">
        <f>INDEX(Team_Summary!$A$1:$JF$21,MATCH(_xlfn.XLOOKUP($B11,Helpers!$C$4:$C$26,Helpers!$B$4:$B$26,"",0),Team_Summary!$A:$A,0),MATCH("Team_League Table_Away_L",Team_Summary!$1:$1,0))</f>
        <v/>
      </c>
      <c r="V11" s="30">
        <f>IF(COUNTIF(U$4:U$23,U11)&gt;1,"T"&amp;_xlfn.RANK.EQ(U11,U$4:U$23,1),_xlfn.RANK.EQ(U11,U$4:U$23,1))</f>
        <v/>
      </c>
      <c r="W11">
        <f>INDEX(Team_Summary!$A$1:$JF$21,MATCH(_xlfn.XLOOKUP($B11,Helpers!$C$4:$C$26,Helpers!$B$4:$B$26,"",0),Team_Summary!$A:$A,0),MATCH("Team_League Table_Home_Pts",Team_Summary!$1:$1,0))</f>
        <v/>
      </c>
      <c r="X11" s="30">
        <f>IF(COUNTIF(W$4:W$23,W11)&gt;1,"T"&amp;_xlfn.RANK.EQ(W11,W$4:W$23,0),_xlfn.RANK.EQ(W11,W$4:W$23,0))</f>
        <v/>
      </c>
      <c r="Y11">
        <f>INDEX(Team_Summary!$A$1:$JF$21,MATCH(_xlfn.XLOOKUP($B11,Helpers!$C$4:$C$26,Helpers!$B$4:$B$26,"",0),Team_Summary!$A:$A,0),MATCH("Team_League Table_Away_Pts",Team_Summary!$1:$1,0))</f>
        <v/>
      </c>
      <c r="Z11" s="30">
        <f>IF(COUNTIF(Y$4:Y$23,Y11)&gt;1,"T"&amp;_xlfn.RANK.EQ(Y11,Y$4:Y$23,0),_xlfn.RANK.EQ(Y11,Y$4:Y$23,0))</f>
        <v/>
      </c>
      <c r="AA11">
        <f>INDEX(Team_Summary!$A$1:$JF$21,MATCH(_xlfn.XLOOKUP($B11,Helpers!$C$4:$C$26,Helpers!$B$4:$B$26,"",0),Team_Summary!$A:$A,0),MATCH("Team_League Table_Home_Pts/MP",Team_Summary!$1:$1,0))</f>
        <v/>
      </c>
      <c r="AB11" s="30">
        <f>IF(COUNTIF(AA$4:AA$23,AA11)&gt;1,"T"&amp;_xlfn.RANK.EQ(AA11,AA$4:AA$23,0),_xlfn.RANK.EQ(AA11,AA$4:AA$23,0))</f>
        <v/>
      </c>
      <c r="AC11">
        <f>INDEX(Team_Summary!$A$1:$JF$21,MATCH(_xlfn.XLOOKUP($B11,Helpers!$C$4:$C$26,Helpers!$B$4:$B$26,"",0),Team_Summary!$A:$A,0),MATCH("Team_League Table_Away_Pts/MP",Team_Summary!$1:$1,0))</f>
        <v/>
      </c>
      <c r="AD11" s="30">
        <f>IF(COUNTIF(AC$4:AC$23,AC11)&gt;1,"T"&amp;_xlfn.RANK.EQ(AC11,AC$4:AC$23,0),_xlfn.RANK.EQ(AC11,AC$4:AC$23,0))</f>
        <v/>
      </c>
      <c r="AE11">
        <f>INDEX(Team_Summary!$A$1:$JF$21,MATCH(_xlfn.XLOOKUP($B11,Helpers!$C$4:$C$26,Helpers!$B$4:$B$26,"",0),Team_Summary!$A:$A,0),MATCH("Team_League Table_Overall_Pts/MP",Team_Summary!$1:$1,0))</f>
        <v/>
      </c>
      <c r="AF11" s="30">
        <f>IF(COUNTIF(AE$4:AE$23,AE11)&gt;1,"T"&amp;_xlfn.RANK.EQ(AE11,AE$4:AE$23,0),_xlfn.RANK.EQ(AE11,AE$4:AE$23,0))</f>
        <v/>
      </c>
      <c r="AG11">
        <f>INDEX(Team_Summary!$A$1:$JF$21,MATCH(_xlfn.XLOOKUP($B11,Helpers!$C$4:$C$26,Helpers!$B$4:$B$26,"",0),Team_Summary!$A:$A,0),MATCH("Team_League Table_Home_GF",Team_Summary!$1:$1,0))</f>
        <v/>
      </c>
      <c r="AH11" s="30">
        <f>IF(COUNTIF(AG$4:AG$23,AG11)&gt;1,"T"&amp;_xlfn.RANK.EQ(AG11,AG$4:AG$23,0),_xlfn.RANK.EQ(AG11,AG$4:AG$23,0))</f>
        <v/>
      </c>
      <c r="AI11">
        <f>INDEX(Team_Summary!$A$1:$JF$21,MATCH(_xlfn.XLOOKUP($B11,Helpers!$C$4:$C$26,Helpers!$B$4:$B$26,"",0),Team_Summary!$A:$A,0),MATCH("Team_League Table_Away_GF",Team_Summary!$1:$1,0))</f>
        <v/>
      </c>
      <c r="AJ11" s="30">
        <f>IF(COUNTIF(AI$4:AI$23,AI11)&gt;1,"T"&amp;_xlfn.RANK.EQ(AI11,AI$4:AI$23,0),_xlfn.RANK.EQ(AI11,AI$4:AI$23,0))</f>
        <v/>
      </c>
      <c r="AK11">
        <f>INDEX(Team_Summary!$A$1:$JF$21,MATCH(_xlfn.XLOOKUP($B11,Helpers!$C$4:$C$26,Helpers!$B$4:$B$26,"",0),Team_Summary!$A:$A,0),MATCH("Team_League Table_Home_GA",Team_Summary!$1:$1,0))</f>
        <v/>
      </c>
      <c r="AL11" s="30">
        <f>IF(COUNTIF(AK$4:AK$23,AK11)&gt;1,"T"&amp;_xlfn.RANK.EQ(AK11,AK$4:AK$23,1),_xlfn.RANK.EQ(AK11,AK$4:AK$23,1))</f>
        <v/>
      </c>
      <c r="AM11">
        <f>INDEX(Team_Summary!$A$1:$JF$21,MATCH(_xlfn.XLOOKUP($B11,Helpers!$C$4:$C$26,Helpers!$B$4:$B$26,"",0),Team_Summary!$A:$A,0),MATCH("Team_League Table_Away_GA",Team_Summary!$1:$1,0))</f>
        <v/>
      </c>
      <c r="AN11" s="30">
        <f>IF(COUNTIF(AM$4:AM$23,AM11)&gt;1,"T"&amp;_xlfn.RANK.EQ(AM11,AM$4:AM$23,1),_xlfn.RANK.EQ(AM11,AM$4:AM$23,1))</f>
        <v/>
      </c>
      <c r="AO11">
        <f>INDEX(Team_Summary!$A$1:$JF$21,MATCH(_xlfn.XLOOKUP($B11,Helpers!$C$4:$C$26,Helpers!$B$4:$B$26,"",0),Team_Summary!$A:$A,0),MATCH("Team_League Table_Home_GD",Team_Summary!$1:$1,0))</f>
        <v/>
      </c>
      <c r="AP11" s="30">
        <f>IF(COUNTIF(AO$4:AO$23,AO11)&gt;1,"T"&amp;_xlfn.RANK.EQ(AO11,AO$4:AO$23,0),_xlfn.RANK.EQ(AO11,AO$4:AO$23,0))</f>
        <v/>
      </c>
      <c r="AQ11">
        <f>INDEX(Team_Summary!$A$1:$JF$21,MATCH(_xlfn.XLOOKUP($B11,Helpers!$C$4:$C$26,Helpers!$B$4:$B$26,"",0),Team_Summary!$A:$A,0),MATCH("Team_League Table_Away_GD",Team_Summary!$1:$1,0))</f>
        <v/>
      </c>
      <c r="AR11" s="30">
        <f>IF(COUNTIF(AQ$4:AQ$23,AQ11)&gt;1,"T"&amp;_xlfn.RANK.EQ(AQ11,AQ$4:AQ$23,0),_xlfn.RANK.EQ(AQ11,AQ$4:AQ$23,0))</f>
        <v/>
      </c>
      <c r="AS11">
        <f>INDEX(Team_Summary!$A$1:$JF$21,MATCH(_xlfn.XLOOKUP($B11,Helpers!$C$4:$C$26,Helpers!$B$4:$B$26,"",0),Team_Summary!$A:$A,0),MATCH("Team_Standard_Stats_Gls",Team_Summary!$1:$1,0))</f>
        <v/>
      </c>
      <c r="AT11" s="30">
        <f>IF(COUNTIF(AS$4:AS$23,AS11)&gt;1,"T"&amp;_xlfn.RANK.EQ(AS11,AS$4:AS$23,0),_xlfn.RANK.EQ(AS11,AS$4:AS$23,0))</f>
        <v/>
      </c>
      <c r="AU11" s="27">
        <f>C11/INDEX(Team_Summary!$A$1:$JF$21,MATCH(_xlfn.XLOOKUP($B11,Helpers!$C$4:$C$26,Helpers!$B$4:$B$26,"",0),Team_Summary!$A:$A,0),MATCH("Team_League Table_Overall_MP",Team_Summary!$1:$1,0))</f>
        <v/>
      </c>
      <c r="AV11" s="30">
        <f>IF(COUNTIF(AU$4:AU$23,AU11)&gt;1,"T"&amp;_xlfn.RANK.EQ(AU11,AU$4:AU$23,0),_xlfn.RANK.EQ(AU11,AU$4:AU$23,0))</f>
        <v/>
      </c>
      <c r="AW11">
        <f>INDEX(Team_Summary!$A$1:$JF$21,MATCH(_xlfn.XLOOKUP($B11,Helpers!$C$4:$C$26,Helpers!$B$4:$B$26,"",0),Team_Summary!$A:$A,0),MATCH("Team_Standard_Stats_G-PK",Team_Summary!$1:$1,0))</f>
        <v/>
      </c>
      <c r="AX11" s="30">
        <f>IF(COUNTIF(AW$4:AW$23,AW11)&gt;1,"T"&amp;_xlfn.RANK.EQ(AW11,AW$4:AW$23,0),_xlfn.RANK.EQ(AW11,AW$4:AW$23,0))</f>
        <v/>
      </c>
      <c r="AY11">
        <f>INDEX(Team_Summary!$A$1:$JF$21,MATCH(_xlfn.XLOOKUP($B11,Helpers!$C$4:$C$26,Helpers!$B$4:$B$26,"",0),Team_Summary!$A:$A,0),MATCH("Team_Standard_Stats_PK",Team_Summary!$1:$1,0))</f>
        <v/>
      </c>
      <c r="AZ11" s="30">
        <f>IF(COUNTIF(AY$4:AY$23,AY11)&gt;1,"T"&amp;_xlfn.RANK.EQ(AY11,AY$4:AY$23,0),_xlfn.RANK.EQ(AY11,AY$4:AY$23,0))</f>
        <v/>
      </c>
      <c r="BA11">
        <f>INDEX(Team_Summary!$A$1:$JF$21,MATCH(_xlfn.XLOOKUP($B11,Helpers!$C$4:$C$26,Helpers!$B$4:$B$26,"",0),Team_Summary!$A:$A,0),MATCH("Team_Standard_Stats_Ast.1",Team_Summary!$1:$1,0))</f>
        <v/>
      </c>
      <c r="BB11" s="30">
        <f>IF(COUNTIF(BA$4:BA$23,BA11)&gt;1,"T"&amp;_xlfn.RANK.EQ(BA11,BA$4:BA$23,0),_xlfn.RANK.EQ(BA11,BA$4:BA$23,0))</f>
        <v/>
      </c>
      <c r="BC11">
        <f>INDEX(Team_Summary!$A$1:$JF$21,MATCH(_xlfn.XLOOKUP($B11,Helpers!$C$4:$C$26,Helpers!$B$4:$B$26,"",0),Team_Summary!$A:$A,0),MATCH("Team_Standard_Stats_Ast",Team_Summary!$1:$1,0))</f>
        <v/>
      </c>
      <c r="BD11" s="30">
        <f>IF(COUNTIF(BC$4:BC$23,BC11)&gt;1,"T"&amp;_xlfn.RANK.EQ(BC11,BC$4:BC$23,0),_xlfn.RANK.EQ(BC11,BC$4:BC$23,0))</f>
        <v/>
      </c>
      <c r="BE11">
        <f>INDEX(Team_Summary!$A$1:$JF$21,MATCH(_xlfn.XLOOKUP($B11,Helpers!$C$4:$C$26,Helpers!$B$4:$B$26,"",0),Team_Summary!$A:$A,0),MATCH("Team_Miscellaneous_Stats_CrdY",Team_Summary!$1:$1,0))</f>
        <v/>
      </c>
      <c r="BF11" s="30">
        <f>IF(COUNTIF(BE$4:BE$23,BE11)&gt;1,"T"&amp;_xlfn.RANK.EQ(BE11,BE$4:BE$23,1),_xlfn.RANK.EQ(BE11,BE$4:BE$23,1))</f>
        <v/>
      </c>
      <c r="BG11" s="35">
        <f>BE11/INDEX(Team_Summary!$A$1:$JF$21,MATCH(_xlfn.XLOOKUP($B11,Helpers!$C$4:$C$26,Helpers!$B$4:$B$26,"",0),Team_Summary!$A:$A,0),MATCH("Team_League Table_Overall_MP",Team_Summary!$1:$1,0))</f>
        <v/>
      </c>
      <c r="BH11" s="30">
        <f>IF(COUNTIF(BG$4:BG$23,BG11)&gt;1,"T"&amp;_xlfn.RANK.EQ(BG11,BG$4:BG$23,1),_xlfn.RANK.EQ(BG11,BG$4:BG$23,1))</f>
        <v/>
      </c>
      <c r="BI11">
        <f>INDEX(Team_Summary!$A$1:$JF$21,MATCH(_xlfn.XLOOKUP($B11,Helpers!$C$4:$C$26,Helpers!$B$4:$B$26,"",0),Team_Summary!$A:$A,0),MATCH("Team_Miscellaneous_Stats_CrdR",Team_Summary!$1:$1,0))/INDEX(Team_Summary!$A$1:$JF$21,MATCH(_xlfn.XLOOKUP($B11,Helpers!$C$4:$C$26,Helpers!$B$4:$B$26,"",0),Team_Summary!$A:$A,0),MATCH("Team_League Table_Overall_MP",Team_Summary!$1:$1,0))</f>
        <v/>
      </c>
      <c r="BJ11" s="30">
        <f>IF(COUNTIF(BI$4:BI$23,BI11)&gt;1,"T"&amp;_xlfn.RANK.EQ(BI11,BI$4:BI$23,1),_xlfn.RANK.EQ(BI11,BI$4:BI$23,1))</f>
        <v/>
      </c>
      <c r="BK11">
        <f>INDEX(Team_Summary!$A$1:$JF$21,MATCH(_xlfn.XLOOKUP($B11,Helpers!$C$4:$C$26,Helpers!$B$4:$B$26,"",0),Team_Summary!$A:$A,0),MATCH("Team_Goalkeeping_SoTA",Team_Summary!$1:$1,0))/INDEX(Team_Summary!$A$1:$JF$21,MATCH(_xlfn.XLOOKUP($B11,Helpers!$C$4:$C$26,Helpers!$B$4:$B$26,"",0),Team_Summary!$A:$A,0),MATCH("Team_League Table_Overall_MP",Team_Summary!$1:$1,0))</f>
        <v/>
      </c>
      <c r="BL11" s="30">
        <f>IF(COUNTIF(BK$4:BK$23,BK11)&gt;1,"T"&amp;_xlfn.RANK.EQ(BK11,BK$4:BK$23,1),_xlfn.RANK.EQ(BK11,BK$4:BK$23,1))</f>
        <v/>
      </c>
      <c r="BM11">
        <f>INDEX(Team_Summary!$A$1:$JF$21,MATCH(_xlfn.XLOOKUP($B11,Helpers!$C$4:$C$26,Helpers!$B$4:$B$26,"",0),Team_Summary!$A:$A,0),MATCH("Team_Goalkeeping_Save%",Team_Summary!$1:$1,0))</f>
        <v/>
      </c>
      <c r="BN11" s="30">
        <f>IF(COUNTIF(BM$4:BM$23,BM11)&gt;1,"T"&amp;_xlfn.RANK.EQ(BM11,BM$4:BM$23,0),_xlfn.RANK.EQ(BM11,BM$4:BM$23,0))</f>
        <v/>
      </c>
      <c r="BO11">
        <f>INDEX(Team_Summary!$A$1:$JF$21,MATCH(_xlfn.XLOOKUP($B11,Helpers!$C$4:$C$26,Helpers!$B$4:$B$26,"",0),Team_Summary!$A:$A,0),MATCH("Team_Goalkeeping_CS%",Team_Summary!$1:$1,0))</f>
        <v/>
      </c>
      <c r="BP11" s="30">
        <f>IF(COUNTIF(BO$4:BO$23,BO11)&gt;1,"T"&amp;_xlfn.RANK.EQ(BO11,BO$4:BO$23,0),_xlfn.RANK.EQ(BO11,BO$4:BO$23,0))</f>
        <v/>
      </c>
      <c r="BQ11">
        <f>INDEX(Team_Summary!$A$1:$JF$21,MATCH(_xlfn.XLOOKUP($B11,Helpers!$C$4:$C$26,Helpers!$B$4:$B$26,"",0),Team_Summary!$A:$A,0),MATCH("Team_Goalkeeping_Save%.1",Team_Summary!$1:$1,0))</f>
        <v/>
      </c>
      <c r="BR11" s="30">
        <f>IF(COUNTIF(BQ$4:BQ$23,BQ11)&gt;1,"T"&amp;_xlfn.RANK.EQ(BQ11,BQ$4:BQ$23,0),_xlfn.RANK.EQ(BQ11,BQ$4:BQ$23,0))</f>
        <v/>
      </c>
      <c r="BS11">
        <f>INDEX(Team_Summary!$A$1:$JF$21,MATCH(_xlfn.XLOOKUP($B11,Helpers!$C$4:$C$26,Helpers!$B$4:$B$26,"",0),Team_Summary!$A:$A,0),MATCH("Team_Advanced_Goalkeeping_FK",Team_Summary!$1:$1,0))</f>
        <v/>
      </c>
      <c r="BT11" s="30">
        <f>IF(COUNTIF(BS$4:BS$23,BS11)&gt;1,"T"&amp;_xlfn.RANK.EQ(BS11,BS$4:BS$23,1),_xlfn.RANK.EQ(BS11,BS$4:BS$23,1))</f>
        <v/>
      </c>
      <c r="BU11">
        <f>INDEX(Team_Summary!$A$1:$JF$21,MATCH(_xlfn.XLOOKUP($B11,Helpers!$C$4:$C$26,Helpers!$B$4:$B$26,"",0),Team_Summary!$A:$A,0),MATCH("Team_Advanced_Goalkeeping_CK",Team_Summary!$1:$1,0))</f>
        <v/>
      </c>
      <c r="BV11" s="30">
        <f>IF(COUNTIF(BU$4:BU$23,BU11)&gt;1,"T"&amp;_xlfn.RANK.EQ(BU11,BU$4:BU$23,1),_xlfn.RANK.EQ(BU11,BU$4:BU$23,1))</f>
        <v/>
      </c>
      <c r="BW11">
        <f>INDEX(Team_Summary!$A$1:$JF$21,MATCH(_xlfn.XLOOKUP($B11,Helpers!$C$4:$C$26,Helpers!$B$4:$B$26,"",0),Team_Summary!$A:$A,0),MATCH("Team_Advanced_Goalkeeping_Stp%",Team_Summary!$1:$1,0))</f>
        <v/>
      </c>
      <c r="BX11" s="30">
        <f>IF(COUNTIF(BW$4:BW$23,BW11)&gt;1,"T"&amp;_xlfn.RANK.EQ(BW11,BW$4:BW$23,0),_xlfn.RANK.EQ(BW11,BW$4:BW$23,0))</f>
        <v/>
      </c>
      <c r="BY11">
        <f>INDEX(Team_Summary!$A$1:$JF$21,MATCH(_xlfn.XLOOKUP($B11,Helpers!$C$4:$C$26,Helpers!$B$4:$B$26,"",0),Team_Summary!$A:$A,0),MATCH("Team_Shooting_G/SoT",Team_Summary!$1:$1,0))</f>
        <v/>
      </c>
      <c r="BZ11" s="30">
        <f>IF(COUNTIF(BY$4:BY$23,BY11)&gt;1,"T"&amp;_xlfn.RANK.EQ(BY11,BY$4:BY$23,0),_xlfn.RANK.EQ(BY11,BY$4:BY$23,0))</f>
        <v/>
      </c>
      <c r="CA11">
        <f>INDEX(Team_Summary!$A$1:$JF$21,MATCH(_xlfn.XLOOKUP($B11,Helpers!$C$4:$C$26,Helpers!$B$4:$B$26,"",0),Team_Summary!$A:$A,0),MATCH("Team_Shooting_G/Sh",Team_Summary!$1:$1,0))</f>
        <v/>
      </c>
      <c r="CB11" s="30">
        <f>IF(COUNTIF(CA$4:CA$23,CA11)&gt;1,"T"&amp;_xlfn.RANK.EQ(CA11,CA$4:CA$23,0),_xlfn.RANK.EQ(CA11,CA$4:CA$23,0))</f>
        <v/>
      </c>
      <c r="CC11">
        <f>INDEX(Team_Summary!$A$1:$JF$21,MATCH(_xlfn.XLOOKUP($B11,Helpers!$C$4:$C$26,Helpers!$B$4:$B$26,"",0),Team_Summary!$A:$A,0),MATCH("Team_Shooting_SoT",Team_Summary!$1:$1,0))/INDEX(Team_Summary!$A$1:$JF$21,MATCH(_xlfn.XLOOKUP($B11,Helpers!$C$4:$C$26,Helpers!$B$4:$B$26,"",0),Team_Summary!$A:$A,0),MATCH("Team_League Table_Overall_MP",Team_Summary!$1:$1,0))</f>
        <v/>
      </c>
      <c r="CD11" s="30">
        <f>IF(COUNTIF(CC$4:CC$23,CC11)&gt;1,"T"&amp;_xlfn.RANK.EQ(CC11,CC$4:CC$23,0),_xlfn.RANK.EQ(CC11,CC$4:CC$23,0))</f>
        <v/>
      </c>
      <c r="CE11">
        <f>INDEX(Team_Summary!$A$1:$JF$21,MATCH(_xlfn.XLOOKUP($B11,Helpers!$C$4:$C$26,Helpers!$B$4:$B$26,"",0),Team_Summary!$A:$A,0),MATCH("Team_Shooting_SoT%",Team_Summary!$1:$1,0))</f>
        <v/>
      </c>
      <c r="CF11" s="30">
        <f>IF(COUNTIF(CE$4:CE$23,CE11)&gt;1,"T"&amp;_xlfn.RANK.EQ(CE11,CE$4:CE$23,0),_xlfn.RANK.EQ(CE11,CE$4:CE$23,0))</f>
        <v/>
      </c>
      <c r="CG11">
        <f>INDEX(Team_Summary!$A$1:$JF$21,MATCH(_xlfn.XLOOKUP($B11,Helpers!$C$4:$C$26,Helpers!$B$4:$B$26,"",0),Team_Summary!$A:$A,0),MATCH("Team_Pass_Types_CK",Team_Summary!$1:$1,0))/INDEX(Team_Summary!$A$1:$JF$21,MATCH(_xlfn.XLOOKUP($B11,Helpers!$C$4:$C$26,Helpers!$B$4:$B$26,"",0),Team_Summary!$A:$A,0),MATCH("Team_League Table_Overall_MP",Team_Summary!$1:$1,0))</f>
        <v/>
      </c>
      <c r="CH11" s="30">
        <f>IF(COUNTIF(CG$4:CG$23,CG11)&gt;1,"T"&amp;_xlfn.RANK.EQ(CG11,CG$4:CG$23,0),_xlfn.RANK.EQ(CG11,CG$4:CG$23,0))</f>
        <v/>
      </c>
      <c r="CI11">
        <f>INDEX(Team_Summary!$A$1:$JF$21,MATCH(_xlfn.XLOOKUP($B11,Helpers!$C$4:$C$26,Helpers!$B$4:$B$26,"",0),Team_Summary!$A:$A,0),MATCH("Team_Miscellaneous_Stats_TklW",Team_Summary!$1:$1,0))/INDEX(Team_Summary!$A$1:$JF$21,MATCH(_xlfn.XLOOKUP($B11,Helpers!$C$4:$C$26,Helpers!$B$4:$B$26,"",0),Team_Summary!$A:$A,0),MATCH("Team_League Table_Overall_MP",Team_Summary!$1:$1,0))</f>
        <v/>
      </c>
      <c r="CJ11" s="30">
        <f>IF(COUNTIF(CI$4:CI$23,CI11)&gt;1,"T"&amp;_xlfn.RANK.EQ(CI11,CI$4:CI$23,0),_xlfn.RANK.EQ(CI11,CI$4:CI$23,0))</f>
        <v/>
      </c>
      <c r="CK11">
        <f>INDEX(Team_Summary!$A$1:$JF$21,MATCH(_xlfn.XLOOKUP($B11,Helpers!$C$4:$C$26,Helpers!$B$4:$B$26,"",0),Team_Summary!$A:$A,0),MATCH("Team_Defensive_Actions_Sh",Team_Summary!$1:$1,0))/INDEX(Team_Summary!$A$1:$JF$21,MATCH(_xlfn.XLOOKUP($B11,Helpers!$C$4:$C$26,Helpers!$B$4:$B$26,"",0),Team_Summary!$A:$A,0),MATCH("Team_League Table_Overall_MP",Team_Summary!$1:$1,0))</f>
        <v/>
      </c>
      <c r="CL11" s="30">
        <f>IF(COUNTIF(CK$4:CK$23,CK11)&gt;1,"T"&amp;_xlfn.RANK.EQ(CK11,CK$4:CK$23,0),_xlfn.RANK.EQ(CK11,CK$4:CK$23,0))</f>
        <v/>
      </c>
      <c r="CM11">
        <f>INDEX(Team_Summary!$A$1:$JF$21,MATCH(_xlfn.XLOOKUP($B11,Helpers!$C$4:$C$26,Helpers!$B$4:$B$26,"",0),Team_Summary!$A:$A,0),MATCH("Team_Defensive_Actions_Int",Team_Summary!$1:$1,0))/INDEX(Team_Summary!$A$1:$JF$21,MATCH(_xlfn.XLOOKUP($B11,Helpers!$C$4:$C$26,Helpers!$B$4:$B$26,"",0),Team_Summary!$A:$A,0),MATCH("Team_League Table_Overall_MP",Team_Summary!$1:$1,0))</f>
        <v/>
      </c>
      <c r="CN11" s="30">
        <f>IF(COUNTIF(CM$4:CM$23,CM11)&gt;1,"T"&amp;_xlfn.RANK.EQ(CM11,CM$4:CM$23,0),_xlfn.RANK.EQ(CM11,CM$4:CM$23,0))</f>
        <v/>
      </c>
      <c r="CO11">
        <f>INDEX(Team_Summary!$A$1:$JF$21,MATCH(_xlfn.XLOOKUP($B11,Helpers!$C$4:$C$26,Helpers!$B$4:$B$26,"",0),Team_Summary!$A:$A,0),MATCH("Team_Possession_Poss",Team_Summary!$1:$1,0))</f>
        <v/>
      </c>
      <c r="CP11" s="30">
        <f>IF(COUNTIF(CO$4:CO$23,CO11)&gt;1,"T"&amp;_xlfn.RANK.EQ(CO11,CO$4:CO$23,0),_xlfn.RANK.EQ(CO11,CO$4:CO$23,0))</f>
        <v/>
      </c>
      <c r="CQ11">
        <f>INDEX(Team_Summary!$A$1:$JF$21,MATCH(_xlfn.XLOOKUP($B11,Helpers!$C$4:$C$26,Helpers!$B$4:$B$26,"",0),Team_Summary!$A:$A,0),MATCH("Team_Possession_Def Pen",Team_Summary!$1:$1,0))/INDEX(Team_Summary!$A$1:$JF$21,MATCH(_xlfn.XLOOKUP($B11,Helpers!$C$4:$C$26,Helpers!$B$4:$B$26,"",0),Team_Summary!$A:$A,0),MATCH("Team_League Table_Overall_MP",Team_Summary!$1:$1,0))</f>
        <v/>
      </c>
      <c r="CR11" s="30">
        <f>IF(COUNTIF(CQ$4:CQ$23,CQ11)&gt;1,"T"&amp;_xlfn.RANK.EQ(CQ11,CQ$4:CQ$23,0),_xlfn.RANK.EQ(CQ11,CQ$4:CQ$23,0))</f>
        <v/>
      </c>
      <c r="CS11">
        <f>INDEX(Team_Summary!$A$1:$JF$21,MATCH(_xlfn.XLOOKUP($B11,Helpers!$C$4:$C$26,Helpers!$B$4:$B$26,"",0),Team_Summary!$A:$A,0),MATCH("Team_Possession_Def 3rd",Team_Summary!$1:$1,0))/INDEX(Team_Summary!$A$1:$JF$21,MATCH(_xlfn.XLOOKUP($B11,Helpers!$C$4:$C$26,Helpers!$B$4:$B$26,"",0),Team_Summary!$A:$A,0),MATCH("Team_League Table_Overall_MP",Team_Summary!$1:$1,0))</f>
        <v/>
      </c>
      <c r="CT11" s="30">
        <f>IF(COUNTIF(CS$4:CS$23,CS11)&gt;1,"T"&amp;_xlfn.RANK.EQ(CS11,CS$4:CS$23,0),_xlfn.RANK.EQ(CS11,CS$4:CS$23,0))</f>
        <v/>
      </c>
      <c r="CU11">
        <f>INDEX(Team_Summary!$A$1:$JF$21,MATCH(_xlfn.XLOOKUP($B11,Helpers!$C$4:$C$26,Helpers!$B$4:$B$26,"",0),Team_Summary!$A:$A,0),MATCH("Team_Possession_Mid 3rd",Team_Summary!$1:$1,0))/INDEX(Team_Summary!$A$1:$JF$21,MATCH(_xlfn.XLOOKUP($B11,Helpers!$C$4:$C$26,Helpers!$B$4:$B$26,"",0),Team_Summary!$A:$A,0),MATCH("Team_League Table_Overall_MP",Team_Summary!$1:$1,0))</f>
        <v/>
      </c>
      <c r="CV11" s="30">
        <f>IF(COUNTIF(CU$4:CU$23,CU11)&gt;1,"T"&amp;_xlfn.RANK.EQ(CU11,CU$4:CU$23,0),_xlfn.RANK.EQ(CU11,CU$4:CU$23,0))</f>
        <v/>
      </c>
      <c r="CW11">
        <f>INDEX(Team_Summary!$A$1:$JF$21,MATCH(_xlfn.XLOOKUP($B11,Helpers!$C$4:$C$26,Helpers!$B$4:$B$26,"",0),Team_Summary!$A:$A,0),MATCH("Team_Possession_Att 3rd",Team_Summary!$1:$1,0))/INDEX(Team_Summary!$A$1:$JF$21,MATCH(_xlfn.XLOOKUP($B11,Helpers!$C$4:$C$26,Helpers!$B$4:$B$26,"",0),Team_Summary!$A:$A,0),MATCH("Team_League Table_Overall_MP",Team_Summary!$1:$1,0))</f>
        <v/>
      </c>
      <c r="CX11" s="30">
        <f>IF(COUNTIF(CW$4:CW$23,CW11)&gt;1,"T"&amp;_xlfn.RANK.EQ(CW11,CW$4:CW$23,0),_xlfn.RANK.EQ(CW11,CW$4:CW$23,0))</f>
        <v/>
      </c>
      <c r="CY11">
        <f>INDEX(Team_Summary!$A$1:$JF$21,MATCH(_xlfn.XLOOKUP($B11,Helpers!$C$4:$C$26,Helpers!$B$4:$B$26,"",0),Team_Summary!$A:$A,0),MATCH("Team_Possession_Att Pen",Team_Summary!$1:$1,0))/INDEX(Team_Summary!$A$1:$JF$21,MATCH(_xlfn.XLOOKUP($B11,Helpers!$C$4:$C$26,Helpers!$B$4:$B$26,"",0),Team_Summary!$A:$A,0),MATCH("Team_League Table_Overall_MP",Team_Summary!$1:$1,0))</f>
        <v/>
      </c>
      <c r="CZ11" s="30">
        <f>IF(COUNTIF(CY$4:CY$23,CY11)&gt;1,"T"&amp;_xlfn.RANK.EQ(CY11,CY$4:CY$23,0),_xlfn.RANK.EQ(CY11,CY$4:CY$23,0))</f>
        <v/>
      </c>
      <c r="DA11">
        <f>INDEX(Team_Summary!$A$1:$JF$21,MATCH(_xlfn.XLOOKUP($B11,Helpers!$C$4:$C$26,Helpers!$B$4:$B$26,"",0),Team_Summary!$A:$A,0),MATCH("Team_Miscellaneous_Stats_Fls",Team_Summary!$1:$1,0))/INDEX(Team_Summary!$A$1:$JF$21,MATCH(_xlfn.XLOOKUP($B11,Helpers!$C$4:$C$26,Helpers!$B$4:$B$26,"",0),Team_Summary!$A:$A,0),MATCH("Team_League Table_Overall_MP",Team_Summary!$1:$1,0))</f>
        <v/>
      </c>
      <c r="DB11" s="30">
        <f>IF(COUNTIF(DA$4:DA$23,DA11)&gt;1,"T"&amp;_xlfn.RANK.EQ(DA11,DA$4:DA$23,1),_xlfn.RANK.EQ(DA11,DA$4:DA$23,1))</f>
        <v/>
      </c>
      <c r="DC11">
        <f>INDEX(Team_Summary!$A$1:$JF$21,MATCH(_xlfn.XLOOKUP($B11,Helpers!$C$4:$C$26,Helpers!$B$4:$B$26,"",0),Team_Summary!$A:$A,0),MATCH("Team_Miscellaneous_Stats_Fld",Team_Summary!$1:$1,0))/INDEX(Team_Summary!$A$1:$JF$21,MATCH(_xlfn.XLOOKUP($B11,Helpers!$C$4:$C$26,Helpers!$B$4:$B$26,"",0),Team_Summary!$A:$A,0),MATCH("Team_League Table_Overall_MP",Team_Summary!$1:$1,0))</f>
        <v/>
      </c>
      <c r="DD11" s="30">
        <f>IF(COUNTIF(DC$4:DC$23,DC11)&gt;1,"T"&amp;_xlfn.RANK.EQ(DC11,DC$4:DC$23,0),_xlfn.RANK.EQ(DC11,DC$4:DC$23,0))</f>
        <v/>
      </c>
      <c r="DE11">
        <f>INDEX(Team_Summary!$A$1:$JF$21,MATCH(_xlfn.XLOOKUP($B11,Helpers!$C$4:$C$26,Helpers!$B$4:$B$26,"",0),Team_Summary!$A:$A,0),MATCH("Team_Miscellaneous_Stats_Won",Team_Summary!$1:$1,0))/INDEX(Team_Summary!$A$1:$JF$21,MATCH(_xlfn.XLOOKUP($B11,Helpers!$C$4:$C$26,Helpers!$B$4:$B$26,"",0),Team_Summary!$A:$A,0),MATCH("Team_League Table_Overall_MP",Team_Summary!$1:$1,0))</f>
        <v/>
      </c>
      <c r="DF11" s="30">
        <f>IF(COUNTIF(DE$4:DE$23,DE11)&gt;1,"T"&amp;_xlfn.RANK.EQ(DE11,DE$4:DE$23,0),_xlfn.RANK.EQ(DE11,DE$4:DE$23,0))</f>
        <v/>
      </c>
      <c r="DG11">
        <f>INDEX(Team_Summary!$A$1:$JF$21,MATCH(_xlfn.XLOOKUP($B11,Helpers!$C$4:$C$26,Helpers!$B$4:$B$26,"",0),Team_Summary!$A:$A,0),MATCH("Team_Miscellaneous_Stats_Pkwon",Team_Summary!$1:$1,0))</f>
        <v/>
      </c>
      <c r="DH11" s="30">
        <f>IF(COUNTIF(DG$4:DG$23,DG11)&gt;1,"T"&amp;_xlfn.RANK.EQ(DG11,DG$4:DG$23,0),_xlfn.RANK.EQ(DG11,DG$4:DG$23,0))</f>
        <v/>
      </c>
      <c r="DI11">
        <f>INDEX(Team_Summary!$A$1:$JF$21,MATCH(_xlfn.XLOOKUP($B11,Helpers!$C$4:$C$26,Helpers!$B$4:$B$26,"",0),Team_Summary!$A:$A,0),MATCH("Team_Miscellaneous_Stats_Pkcon",Team_Summary!$1:$1,0))</f>
        <v/>
      </c>
      <c r="DJ11" s="30">
        <f>IF(COUNTIF(DI$4:DI$23,DI11)&gt;1,"T"&amp;_xlfn.RANK.EQ(DI11,DI$4:DI$23,1),_xlfn.RANK.EQ(DI11,DI$4:DI$23,1))</f>
        <v/>
      </c>
      <c r="DK11">
        <f>INDEX(Team_Summary!$A$1:$JF$21,MATCH(_xlfn.XLOOKUP($B11,Helpers!$C$4:$C$26,Helpers!$B$4:$B$26,"",0),Team_Summary!$A:$A,0),MATCH("Team_Playing_Time_Age",Team_Summary!$1:$1,0))</f>
        <v/>
      </c>
      <c r="DL11" s="30">
        <f>IF(COUNTIF(DK$4:DK$23,DK11)&gt;1,"T"&amp;_xlfn.RANK.EQ(DK11,DK$4:DK$23,1),_xlfn.RANK.EQ(DK11,DK$4:DK$23,1))</f>
        <v/>
      </c>
    </row>
    <row r="12">
      <c r="B12" t="inlineStr">
        <is>
          <t>EVE</t>
        </is>
      </c>
      <c r="C12">
        <f>INDEX(Team_Summary!$A$1:$JF$21,MATCH(_xlfn.XLOOKUP($B12,Helpers!$C$4:$C$26,Helpers!$B$4:$B$26,"",0),Team_Summary!$A:$A,0),MATCH("Team_League Table_Overall_GF",Team_Summary!$1:$1,0))</f>
        <v/>
      </c>
      <c r="D12" s="30">
        <f>IF(COUNTIF(C$4:C$23,C12)&gt;1,"T"&amp;_xlfn.RANK.EQ(C12,C$4:C$23,0),_xlfn.RANK.EQ(C12,C$4:C$23,0))</f>
        <v/>
      </c>
      <c r="E12">
        <f>INDEX(Team_Summary!$A$1:$JF$21,MATCH(_xlfn.XLOOKUP($B12,Helpers!$C$4:$C$26,Helpers!$B$4:$B$26,"",0),Team_Summary!$A:$A,0),MATCH("Team_League Table_Overall_GA",Team_Summary!$1:$1,0))</f>
        <v/>
      </c>
      <c r="F12" s="30">
        <f>IF(COUNTIF(E$4:E$23,E12)&gt;1,"T"&amp;_xlfn.RANK.EQ(E12,E$4:E$23,1),_xlfn.RANK.EQ(E12,E$4:E$23,1))</f>
        <v/>
      </c>
      <c r="G12">
        <f>INDEX(Team_Summary!$A$1:$JF$21,MATCH(_xlfn.XLOOKUP($B12,Helpers!$C$4:$C$26,Helpers!$B$4:$B$26,"",0),Team_Summary!$A:$A,0),MATCH("Team_League Table_Overall_GD",Team_Summary!$1:$1,0))</f>
        <v/>
      </c>
      <c r="H12" s="30">
        <f>IF(COUNTIF(G$4:G$23,G12)&gt;1,"T"&amp;_xlfn.RANK.EQ(G12,G$4:G$23,0),_xlfn.RANK.EQ(G12,G$4:G$23,0))</f>
        <v/>
      </c>
      <c r="I12" s="27">
        <f>G12/INDEX(Team_Summary!$A$1:$JF$21,MATCH(_xlfn.XLOOKUP($B12,Helpers!$C$4:$C$26,Helpers!$B$4:$B$26,"",0),Team_Summary!$A:$A,0),MATCH("Team_League Table_Overall_MP",Team_Summary!$1:$1,0))</f>
        <v/>
      </c>
      <c r="J12" s="30">
        <f>IF(COUNTIF(I$4:I$23,I12)&gt;1,"T"&amp;_xlfn.RANK.EQ(I12,I$4:I$23,0),_xlfn.RANK.EQ(I12,I$4:I$23,0))</f>
        <v/>
      </c>
      <c r="K12">
        <f>INDEX(Team_Summary!$A$1:$JF$21,MATCH(_xlfn.XLOOKUP($B12,Helpers!$C$4:$C$26,Helpers!$B$4:$B$26,"",0),Team_Summary!$A:$A,0),MATCH("Team_League Table_Home_W",Team_Summary!$1:$1,0))</f>
        <v/>
      </c>
      <c r="L12" s="30">
        <f>IF(COUNTIF(K$4:K$23,K12)&gt;1,"T"&amp;_xlfn.RANK.EQ(K12,K$4:K$23,0),_xlfn.RANK.EQ(K12,K$4:K$23,0))</f>
        <v/>
      </c>
      <c r="M12">
        <f>INDEX(Team_Summary!$A$1:$JF$21,MATCH(_xlfn.XLOOKUP($B12,Helpers!$C$4:$C$26,Helpers!$B$4:$B$26,"",0),Team_Summary!$A:$A,0),MATCH("Team_League Table_Away_W",Team_Summary!$1:$1,0))</f>
        <v/>
      </c>
      <c r="N12" s="30">
        <f>IF(COUNTIF(M$4:M$23,M12)&gt;1,"T"&amp;_xlfn.RANK.EQ(M12,M$4:M$23,0),_xlfn.RANK.EQ(M12,M$4:M$23,0))</f>
        <v/>
      </c>
      <c r="O12">
        <f>INDEX(Team_Summary!$A$1:$JF$21,MATCH(_xlfn.XLOOKUP($B12,Helpers!$C$4:$C$26,Helpers!$B$4:$B$26,"",0),Team_Summary!$A:$A,0),MATCH("Team_League Table_Home_D",Team_Summary!$1:$1,0))</f>
        <v/>
      </c>
      <c r="P12" s="30">
        <f>IF(COUNTIF(O$4:O$23,O12)&gt;1,"T"&amp;_xlfn.RANK.EQ(O12,O$4:O$23,1),_xlfn.RANK.EQ(O12,O$4:O$23,1))</f>
        <v/>
      </c>
      <c r="Q12">
        <f>INDEX(Team_Summary!$A$1:$JF$21,MATCH(_xlfn.XLOOKUP($B12,Helpers!$C$4:$C$26,Helpers!$B$4:$B$26,"",0),Team_Summary!$A:$A,0),MATCH("Team_League Table_Away_D",Team_Summary!$1:$1,0))</f>
        <v/>
      </c>
      <c r="R12" s="30">
        <f>IF(COUNTIF(Q$4:Q$23,Q12)&gt;1,"T"&amp;_xlfn.RANK.EQ(Q12,Q$4:Q$23,1),_xlfn.RANK.EQ(Q12,Q$4:Q$23,1))</f>
        <v/>
      </c>
      <c r="S12">
        <f>INDEX(Team_Summary!$A$1:$JF$21,MATCH(_xlfn.XLOOKUP($B12,Helpers!$C$4:$C$26,Helpers!$B$4:$B$26,"",0),Team_Summary!$A:$A,0),MATCH("Team_League Table_Home_L",Team_Summary!$1:$1,0))</f>
        <v/>
      </c>
      <c r="T12" s="30">
        <f>IF(COUNTIF(S$4:S$23,S12)&gt;1,"T"&amp;_xlfn.RANK.EQ(S12,S$4:S$23,1),_xlfn.RANK.EQ(S12,S$4:S$23,1))</f>
        <v/>
      </c>
      <c r="U12">
        <f>INDEX(Team_Summary!$A$1:$JF$21,MATCH(_xlfn.XLOOKUP($B12,Helpers!$C$4:$C$26,Helpers!$B$4:$B$26,"",0),Team_Summary!$A:$A,0),MATCH("Team_League Table_Away_L",Team_Summary!$1:$1,0))</f>
        <v/>
      </c>
      <c r="V12" s="30">
        <f>IF(COUNTIF(U$4:U$23,U12)&gt;1,"T"&amp;_xlfn.RANK.EQ(U12,U$4:U$23,1),_xlfn.RANK.EQ(U12,U$4:U$23,1))</f>
        <v/>
      </c>
      <c r="W12">
        <f>INDEX(Team_Summary!$A$1:$JF$21,MATCH(_xlfn.XLOOKUP($B12,Helpers!$C$4:$C$26,Helpers!$B$4:$B$26,"",0),Team_Summary!$A:$A,0),MATCH("Team_League Table_Home_Pts",Team_Summary!$1:$1,0))</f>
        <v/>
      </c>
      <c r="X12" s="30">
        <f>IF(COUNTIF(W$4:W$23,W12)&gt;1,"T"&amp;_xlfn.RANK.EQ(W12,W$4:W$23,0),_xlfn.RANK.EQ(W12,W$4:W$23,0))</f>
        <v/>
      </c>
      <c r="Y12">
        <f>INDEX(Team_Summary!$A$1:$JF$21,MATCH(_xlfn.XLOOKUP($B12,Helpers!$C$4:$C$26,Helpers!$B$4:$B$26,"",0),Team_Summary!$A:$A,0),MATCH("Team_League Table_Away_Pts",Team_Summary!$1:$1,0))</f>
        <v/>
      </c>
      <c r="Z12" s="30">
        <f>IF(COUNTIF(Y$4:Y$23,Y12)&gt;1,"T"&amp;_xlfn.RANK.EQ(Y12,Y$4:Y$23,0),_xlfn.RANK.EQ(Y12,Y$4:Y$23,0))</f>
        <v/>
      </c>
      <c r="AA12">
        <f>INDEX(Team_Summary!$A$1:$JF$21,MATCH(_xlfn.XLOOKUP($B12,Helpers!$C$4:$C$26,Helpers!$B$4:$B$26,"",0),Team_Summary!$A:$A,0),MATCH("Team_League Table_Home_Pts/MP",Team_Summary!$1:$1,0))</f>
        <v/>
      </c>
      <c r="AB12" s="30">
        <f>IF(COUNTIF(AA$4:AA$23,AA12)&gt;1,"T"&amp;_xlfn.RANK.EQ(AA12,AA$4:AA$23,0),_xlfn.RANK.EQ(AA12,AA$4:AA$23,0))</f>
        <v/>
      </c>
      <c r="AC12">
        <f>INDEX(Team_Summary!$A$1:$JF$21,MATCH(_xlfn.XLOOKUP($B12,Helpers!$C$4:$C$26,Helpers!$B$4:$B$26,"",0),Team_Summary!$A:$A,0),MATCH("Team_League Table_Away_Pts/MP",Team_Summary!$1:$1,0))</f>
        <v/>
      </c>
      <c r="AD12" s="30">
        <f>IF(COUNTIF(AC$4:AC$23,AC12)&gt;1,"T"&amp;_xlfn.RANK.EQ(AC12,AC$4:AC$23,0),_xlfn.RANK.EQ(AC12,AC$4:AC$23,0))</f>
        <v/>
      </c>
      <c r="AE12">
        <f>INDEX(Team_Summary!$A$1:$JF$21,MATCH(_xlfn.XLOOKUP($B12,Helpers!$C$4:$C$26,Helpers!$B$4:$B$26,"",0),Team_Summary!$A:$A,0),MATCH("Team_League Table_Overall_Pts/MP",Team_Summary!$1:$1,0))</f>
        <v/>
      </c>
      <c r="AF12" s="30">
        <f>IF(COUNTIF(AE$4:AE$23,AE12)&gt;1,"T"&amp;_xlfn.RANK.EQ(AE12,AE$4:AE$23,0),_xlfn.RANK.EQ(AE12,AE$4:AE$23,0))</f>
        <v/>
      </c>
      <c r="AG12">
        <f>INDEX(Team_Summary!$A$1:$JF$21,MATCH(_xlfn.XLOOKUP($B12,Helpers!$C$4:$C$26,Helpers!$B$4:$B$26,"",0),Team_Summary!$A:$A,0),MATCH("Team_League Table_Home_GF",Team_Summary!$1:$1,0))</f>
        <v/>
      </c>
      <c r="AH12" s="30">
        <f>IF(COUNTIF(AG$4:AG$23,AG12)&gt;1,"T"&amp;_xlfn.RANK.EQ(AG12,AG$4:AG$23,0),_xlfn.RANK.EQ(AG12,AG$4:AG$23,0))</f>
        <v/>
      </c>
      <c r="AI12">
        <f>INDEX(Team_Summary!$A$1:$JF$21,MATCH(_xlfn.XLOOKUP($B12,Helpers!$C$4:$C$26,Helpers!$B$4:$B$26,"",0),Team_Summary!$A:$A,0),MATCH("Team_League Table_Away_GF",Team_Summary!$1:$1,0))</f>
        <v/>
      </c>
      <c r="AJ12" s="30">
        <f>IF(COUNTIF(AI$4:AI$23,AI12)&gt;1,"T"&amp;_xlfn.RANK.EQ(AI12,AI$4:AI$23,0),_xlfn.RANK.EQ(AI12,AI$4:AI$23,0))</f>
        <v/>
      </c>
      <c r="AK12">
        <f>INDEX(Team_Summary!$A$1:$JF$21,MATCH(_xlfn.XLOOKUP($B12,Helpers!$C$4:$C$26,Helpers!$B$4:$B$26,"",0),Team_Summary!$A:$A,0),MATCH("Team_League Table_Home_GA",Team_Summary!$1:$1,0))</f>
        <v/>
      </c>
      <c r="AL12" s="30">
        <f>IF(COUNTIF(AK$4:AK$23,AK12)&gt;1,"T"&amp;_xlfn.RANK.EQ(AK12,AK$4:AK$23,1),_xlfn.RANK.EQ(AK12,AK$4:AK$23,1))</f>
        <v/>
      </c>
      <c r="AM12">
        <f>INDEX(Team_Summary!$A$1:$JF$21,MATCH(_xlfn.XLOOKUP($B12,Helpers!$C$4:$C$26,Helpers!$B$4:$B$26,"",0),Team_Summary!$A:$A,0),MATCH("Team_League Table_Away_GA",Team_Summary!$1:$1,0))</f>
        <v/>
      </c>
      <c r="AN12" s="30">
        <f>IF(COUNTIF(AM$4:AM$23,AM12)&gt;1,"T"&amp;_xlfn.RANK.EQ(AM12,AM$4:AM$23,1),_xlfn.RANK.EQ(AM12,AM$4:AM$23,1))</f>
        <v/>
      </c>
      <c r="AO12">
        <f>INDEX(Team_Summary!$A$1:$JF$21,MATCH(_xlfn.XLOOKUP($B12,Helpers!$C$4:$C$26,Helpers!$B$4:$B$26,"",0),Team_Summary!$A:$A,0),MATCH("Team_League Table_Home_GD",Team_Summary!$1:$1,0))</f>
        <v/>
      </c>
      <c r="AP12" s="30">
        <f>IF(COUNTIF(AO$4:AO$23,AO12)&gt;1,"T"&amp;_xlfn.RANK.EQ(AO12,AO$4:AO$23,0),_xlfn.RANK.EQ(AO12,AO$4:AO$23,0))</f>
        <v/>
      </c>
      <c r="AQ12">
        <f>INDEX(Team_Summary!$A$1:$JF$21,MATCH(_xlfn.XLOOKUP($B12,Helpers!$C$4:$C$26,Helpers!$B$4:$B$26,"",0),Team_Summary!$A:$A,0),MATCH("Team_League Table_Away_GD",Team_Summary!$1:$1,0))</f>
        <v/>
      </c>
      <c r="AR12" s="30">
        <f>IF(COUNTIF(AQ$4:AQ$23,AQ12)&gt;1,"T"&amp;_xlfn.RANK.EQ(AQ12,AQ$4:AQ$23,0),_xlfn.RANK.EQ(AQ12,AQ$4:AQ$23,0))</f>
        <v/>
      </c>
      <c r="AS12">
        <f>INDEX(Team_Summary!$A$1:$JF$21,MATCH(_xlfn.XLOOKUP($B12,Helpers!$C$4:$C$26,Helpers!$B$4:$B$26,"",0),Team_Summary!$A:$A,0),MATCH("Team_Standard_Stats_Gls",Team_Summary!$1:$1,0))</f>
        <v/>
      </c>
      <c r="AT12" s="30">
        <f>IF(COUNTIF(AS$4:AS$23,AS12)&gt;1,"T"&amp;_xlfn.RANK.EQ(AS12,AS$4:AS$23,0),_xlfn.RANK.EQ(AS12,AS$4:AS$23,0))</f>
        <v/>
      </c>
      <c r="AU12" s="27">
        <f>C12/INDEX(Team_Summary!$A$1:$JF$21,MATCH(_xlfn.XLOOKUP($B12,Helpers!$C$4:$C$26,Helpers!$B$4:$B$26,"",0),Team_Summary!$A:$A,0),MATCH("Team_League Table_Overall_MP",Team_Summary!$1:$1,0))</f>
        <v/>
      </c>
      <c r="AV12" s="30">
        <f>IF(COUNTIF(AU$4:AU$23,AU12)&gt;1,"T"&amp;_xlfn.RANK.EQ(AU12,AU$4:AU$23,0),_xlfn.RANK.EQ(AU12,AU$4:AU$23,0))</f>
        <v/>
      </c>
      <c r="AW12">
        <f>INDEX(Team_Summary!$A$1:$JF$21,MATCH(_xlfn.XLOOKUP($B12,Helpers!$C$4:$C$26,Helpers!$B$4:$B$26,"",0),Team_Summary!$A:$A,0),MATCH("Team_Standard_Stats_G-PK",Team_Summary!$1:$1,0))</f>
        <v/>
      </c>
      <c r="AX12" s="30">
        <f>IF(COUNTIF(AW$4:AW$23,AW12)&gt;1,"T"&amp;_xlfn.RANK.EQ(AW12,AW$4:AW$23,0),_xlfn.RANK.EQ(AW12,AW$4:AW$23,0))</f>
        <v/>
      </c>
      <c r="AY12">
        <f>INDEX(Team_Summary!$A$1:$JF$21,MATCH(_xlfn.XLOOKUP($B12,Helpers!$C$4:$C$26,Helpers!$B$4:$B$26,"",0),Team_Summary!$A:$A,0),MATCH("Team_Standard_Stats_PK",Team_Summary!$1:$1,0))</f>
        <v/>
      </c>
      <c r="AZ12" s="30">
        <f>IF(COUNTIF(AY$4:AY$23,AY12)&gt;1,"T"&amp;_xlfn.RANK.EQ(AY12,AY$4:AY$23,0),_xlfn.RANK.EQ(AY12,AY$4:AY$23,0))</f>
        <v/>
      </c>
      <c r="BA12">
        <f>INDEX(Team_Summary!$A$1:$JF$21,MATCH(_xlfn.XLOOKUP($B12,Helpers!$C$4:$C$26,Helpers!$B$4:$B$26,"",0),Team_Summary!$A:$A,0),MATCH("Team_Standard_Stats_Ast.1",Team_Summary!$1:$1,0))</f>
        <v/>
      </c>
      <c r="BB12" s="30">
        <f>IF(COUNTIF(BA$4:BA$23,BA12)&gt;1,"T"&amp;_xlfn.RANK.EQ(BA12,BA$4:BA$23,0),_xlfn.RANK.EQ(BA12,BA$4:BA$23,0))</f>
        <v/>
      </c>
      <c r="BC12">
        <f>INDEX(Team_Summary!$A$1:$JF$21,MATCH(_xlfn.XLOOKUP($B12,Helpers!$C$4:$C$26,Helpers!$B$4:$B$26,"",0),Team_Summary!$A:$A,0),MATCH("Team_Standard_Stats_Ast",Team_Summary!$1:$1,0))</f>
        <v/>
      </c>
      <c r="BD12" s="30">
        <f>IF(COUNTIF(BC$4:BC$23,BC12)&gt;1,"T"&amp;_xlfn.RANK.EQ(BC12,BC$4:BC$23,0),_xlfn.RANK.EQ(BC12,BC$4:BC$23,0))</f>
        <v/>
      </c>
      <c r="BE12">
        <f>INDEX(Team_Summary!$A$1:$JF$21,MATCH(_xlfn.XLOOKUP($B12,Helpers!$C$4:$C$26,Helpers!$B$4:$B$26,"",0),Team_Summary!$A:$A,0),MATCH("Team_Miscellaneous_Stats_CrdY",Team_Summary!$1:$1,0))</f>
        <v/>
      </c>
      <c r="BF12" s="30">
        <f>IF(COUNTIF(BE$4:BE$23,BE12)&gt;1,"T"&amp;_xlfn.RANK.EQ(BE12,BE$4:BE$23,1),_xlfn.RANK.EQ(BE12,BE$4:BE$23,1))</f>
        <v/>
      </c>
      <c r="BG12" s="35">
        <f>BE12/INDEX(Team_Summary!$A$1:$JF$21,MATCH(_xlfn.XLOOKUP($B12,Helpers!$C$4:$C$26,Helpers!$B$4:$B$26,"",0),Team_Summary!$A:$A,0),MATCH("Team_League Table_Overall_MP",Team_Summary!$1:$1,0))</f>
        <v/>
      </c>
      <c r="BH12" s="30">
        <f>IF(COUNTIF(BG$4:BG$23,BG12)&gt;1,"T"&amp;_xlfn.RANK.EQ(BG12,BG$4:BG$23,1),_xlfn.RANK.EQ(BG12,BG$4:BG$23,1))</f>
        <v/>
      </c>
      <c r="BI12">
        <f>INDEX(Team_Summary!$A$1:$JF$21,MATCH(_xlfn.XLOOKUP($B12,Helpers!$C$4:$C$26,Helpers!$B$4:$B$26,"",0),Team_Summary!$A:$A,0),MATCH("Team_Miscellaneous_Stats_CrdR",Team_Summary!$1:$1,0))/INDEX(Team_Summary!$A$1:$JF$21,MATCH(_xlfn.XLOOKUP($B12,Helpers!$C$4:$C$26,Helpers!$B$4:$B$26,"",0),Team_Summary!$A:$A,0),MATCH("Team_League Table_Overall_MP",Team_Summary!$1:$1,0))</f>
        <v/>
      </c>
      <c r="BJ12" s="30">
        <f>IF(COUNTIF(BI$4:BI$23,BI12)&gt;1,"T"&amp;_xlfn.RANK.EQ(BI12,BI$4:BI$23,1),_xlfn.RANK.EQ(BI12,BI$4:BI$23,1))</f>
        <v/>
      </c>
      <c r="BK12">
        <f>INDEX(Team_Summary!$A$1:$JF$21,MATCH(_xlfn.XLOOKUP($B12,Helpers!$C$4:$C$26,Helpers!$B$4:$B$26,"",0),Team_Summary!$A:$A,0),MATCH("Team_Goalkeeping_SoTA",Team_Summary!$1:$1,0))/INDEX(Team_Summary!$A$1:$JF$21,MATCH(_xlfn.XLOOKUP($B12,Helpers!$C$4:$C$26,Helpers!$B$4:$B$26,"",0),Team_Summary!$A:$A,0),MATCH("Team_League Table_Overall_MP",Team_Summary!$1:$1,0))</f>
        <v/>
      </c>
      <c r="BL12" s="30">
        <f>IF(COUNTIF(BK$4:BK$23,BK12)&gt;1,"T"&amp;_xlfn.RANK.EQ(BK12,BK$4:BK$23,1),_xlfn.RANK.EQ(BK12,BK$4:BK$23,1))</f>
        <v/>
      </c>
      <c r="BM12">
        <f>INDEX(Team_Summary!$A$1:$JF$21,MATCH(_xlfn.XLOOKUP($B12,Helpers!$C$4:$C$26,Helpers!$B$4:$B$26,"",0),Team_Summary!$A:$A,0),MATCH("Team_Goalkeeping_Save%",Team_Summary!$1:$1,0))</f>
        <v/>
      </c>
      <c r="BN12" s="30">
        <f>IF(COUNTIF(BM$4:BM$23,BM12)&gt;1,"T"&amp;_xlfn.RANK.EQ(BM12,BM$4:BM$23,0),_xlfn.RANK.EQ(BM12,BM$4:BM$23,0))</f>
        <v/>
      </c>
      <c r="BO12">
        <f>INDEX(Team_Summary!$A$1:$JF$21,MATCH(_xlfn.XLOOKUP($B12,Helpers!$C$4:$C$26,Helpers!$B$4:$B$26,"",0),Team_Summary!$A:$A,0),MATCH("Team_Goalkeeping_CS%",Team_Summary!$1:$1,0))</f>
        <v/>
      </c>
      <c r="BP12" s="30">
        <f>IF(COUNTIF(BO$4:BO$23,BO12)&gt;1,"T"&amp;_xlfn.RANK.EQ(BO12,BO$4:BO$23,0),_xlfn.RANK.EQ(BO12,BO$4:BO$23,0))</f>
        <v/>
      </c>
      <c r="BQ12">
        <f>INDEX(Team_Summary!$A$1:$JF$21,MATCH(_xlfn.XLOOKUP($B12,Helpers!$C$4:$C$26,Helpers!$B$4:$B$26,"",0),Team_Summary!$A:$A,0),MATCH("Team_Goalkeeping_Save%.1",Team_Summary!$1:$1,0))</f>
        <v/>
      </c>
      <c r="BR12" s="30">
        <f>IF(COUNTIF(BQ$4:BQ$23,BQ12)&gt;1,"T"&amp;_xlfn.RANK.EQ(BQ12,BQ$4:BQ$23,0),_xlfn.RANK.EQ(BQ12,BQ$4:BQ$23,0))</f>
        <v/>
      </c>
      <c r="BS12">
        <f>INDEX(Team_Summary!$A$1:$JF$21,MATCH(_xlfn.XLOOKUP($B12,Helpers!$C$4:$C$26,Helpers!$B$4:$B$26,"",0),Team_Summary!$A:$A,0),MATCH("Team_Advanced_Goalkeeping_FK",Team_Summary!$1:$1,0))</f>
        <v/>
      </c>
      <c r="BT12" s="30">
        <f>IF(COUNTIF(BS$4:BS$23,BS12)&gt;1,"T"&amp;_xlfn.RANK.EQ(BS12,BS$4:BS$23,1),_xlfn.RANK.EQ(BS12,BS$4:BS$23,1))</f>
        <v/>
      </c>
      <c r="BU12">
        <f>INDEX(Team_Summary!$A$1:$JF$21,MATCH(_xlfn.XLOOKUP($B12,Helpers!$C$4:$C$26,Helpers!$B$4:$B$26,"",0),Team_Summary!$A:$A,0),MATCH("Team_Advanced_Goalkeeping_CK",Team_Summary!$1:$1,0))</f>
        <v/>
      </c>
      <c r="BV12" s="30">
        <f>IF(COUNTIF(BU$4:BU$23,BU12)&gt;1,"T"&amp;_xlfn.RANK.EQ(BU12,BU$4:BU$23,1),_xlfn.RANK.EQ(BU12,BU$4:BU$23,1))</f>
        <v/>
      </c>
      <c r="BW12">
        <f>INDEX(Team_Summary!$A$1:$JF$21,MATCH(_xlfn.XLOOKUP($B12,Helpers!$C$4:$C$26,Helpers!$B$4:$B$26,"",0),Team_Summary!$A:$A,0),MATCH("Team_Advanced_Goalkeeping_Stp%",Team_Summary!$1:$1,0))</f>
        <v/>
      </c>
      <c r="BX12" s="30">
        <f>IF(COUNTIF(BW$4:BW$23,BW12)&gt;1,"T"&amp;_xlfn.RANK.EQ(BW12,BW$4:BW$23,0),_xlfn.RANK.EQ(BW12,BW$4:BW$23,0))</f>
        <v/>
      </c>
      <c r="BY12">
        <f>INDEX(Team_Summary!$A$1:$JF$21,MATCH(_xlfn.XLOOKUP($B12,Helpers!$C$4:$C$26,Helpers!$B$4:$B$26,"",0),Team_Summary!$A:$A,0),MATCH("Team_Shooting_G/SoT",Team_Summary!$1:$1,0))</f>
        <v/>
      </c>
      <c r="BZ12" s="30">
        <f>IF(COUNTIF(BY$4:BY$23,BY12)&gt;1,"T"&amp;_xlfn.RANK.EQ(BY12,BY$4:BY$23,0),_xlfn.RANK.EQ(BY12,BY$4:BY$23,0))</f>
        <v/>
      </c>
      <c r="CA12">
        <f>INDEX(Team_Summary!$A$1:$JF$21,MATCH(_xlfn.XLOOKUP($B12,Helpers!$C$4:$C$26,Helpers!$B$4:$B$26,"",0),Team_Summary!$A:$A,0),MATCH("Team_Shooting_G/Sh",Team_Summary!$1:$1,0))</f>
        <v/>
      </c>
      <c r="CB12" s="30">
        <f>IF(COUNTIF(CA$4:CA$23,CA12)&gt;1,"T"&amp;_xlfn.RANK.EQ(CA12,CA$4:CA$23,0),_xlfn.RANK.EQ(CA12,CA$4:CA$23,0))</f>
        <v/>
      </c>
      <c r="CC12">
        <f>INDEX(Team_Summary!$A$1:$JF$21,MATCH(_xlfn.XLOOKUP($B12,Helpers!$C$4:$C$26,Helpers!$B$4:$B$26,"",0),Team_Summary!$A:$A,0),MATCH("Team_Shooting_SoT",Team_Summary!$1:$1,0))/INDEX(Team_Summary!$A$1:$JF$21,MATCH(_xlfn.XLOOKUP($B12,Helpers!$C$4:$C$26,Helpers!$B$4:$B$26,"",0),Team_Summary!$A:$A,0),MATCH("Team_League Table_Overall_MP",Team_Summary!$1:$1,0))</f>
        <v/>
      </c>
      <c r="CD12" s="30">
        <f>IF(COUNTIF(CC$4:CC$23,CC12)&gt;1,"T"&amp;_xlfn.RANK.EQ(CC12,CC$4:CC$23,0),_xlfn.RANK.EQ(CC12,CC$4:CC$23,0))</f>
        <v/>
      </c>
      <c r="CE12">
        <f>INDEX(Team_Summary!$A$1:$JF$21,MATCH(_xlfn.XLOOKUP($B12,Helpers!$C$4:$C$26,Helpers!$B$4:$B$26,"",0),Team_Summary!$A:$A,0),MATCH("Team_Shooting_SoT%",Team_Summary!$1:$1,0))</f>
        <v/>
      </c>
      <c r="CF12" s="30">
        <f>IF(COUNTIF(CE$4:CE$23,CE12)&gt;1,"T"&amp;_xlfn.RANK.EQ(CE12,CE$4:CE$23,0),_xlfn.RANK.EQ(CE12,CE$4:CE$23,0))</f>
        <v/>
      </c>
      <c r="CG12">
        <f>INDEX(Team_Summary!$A$1:$JF$21,MATCH(_xlfn.XLOOKUP($B12,Helpers!$C$4:$C$26,Helpers!$B$4:$B$26,"",0),Team_Summary!$A:$A,0),MATCH("Team_Pass_Types_CK",Team_Summary!$1:$1,0))/INDEX(Team_Summary!$A$1:$JF$21,MATCH(_xlfn.XLOOKUP($B12,Helpers!$C$4:$C$26,Helpers!$B$4:$B$26,"",0),Team_Summary!$A:$A,0),MATCH("Team_League Table_Overall_MP",Team_Summary!$1:$1,0))</f>
        <v/>
      </c>
      <c r="CH12" s="30">
        <f>IF(COUNTIF(CG$4:CG$23,CG12)&gt;1,"T"&amp;_xlfn.RANK.EQ(CG12,CG$4:CG$23,0),_xlfn.RANK.EQ(CG12,CG$4:CG$23,0))</f>
        <v/>
      </c>
      <c r="CI12">
        <f>INDEX(Team_Summary!$A$1:$JF$21,MATCH(_xlfn.XLOOKUP($B12,Helpers!$C$4:$C$26,Helpers!$B$4:$B$26,"",0),Team_Summary!$A:$A,0),MATCH("Team_Miscellaneous_Stats_TklW",Team_Summary!$1:$1,0))/INDEX(Team_Summary!$A$1:$JF$21,MATCH(_xlfn.XLOOKUP($B12,Helpers!$C$4:$C$26,Helpers!$B$4:$B$26,"",0),Team_Summary!$A:$A,0),MATCH("Team_League Table_Overall_MP",Team_Summary!$1:$1,0))</f>
        <v/>
      </c>
      <c r="CJ12" s="30">
        <f>IF(COUNTIF(CI$4:CI$23,CI12)&gt;1,"T"&amp;_xlfn.RANK.EQ(CI12,CI$4:CI$23,0),_xlfn.RANK.EQ(CI12,CI$4:CI$23,0))</f>
        <v/>
      </c>
      <c r="CK12">
        <f>INDEX(Team_Summary!$A$1:$JF$21,MATCH(_xlfn.XLOOKUP($B12,Helpers!$C$4:$C$26,Helpers!$B$4:$B$26,"",0),Team_Summary!$A:$A,0),MATCH("Team_Defensive_Actions_Sh",Team_Summary!$1:$1,0))/INDEX(Team_Summary!$A$1:$JF$21,MATCH(_xlfn.XLOOKUP($B12,Helpers!$C$4:$C$26,Helpers!$B$4:$B$26,"",0),Team_Summary!$A:$A,0),MATCH("Team_League Table_Overall_MP",Team_Summary!$1:$1,0))</f>
        <v/>
      </c>
      <c r="CL12" s="30">
        <f>IF(COUNTIF(CK$4:CK$23,CK12)&gt;1,"T"&amp;_xlfn.RANK.EQ(CK12,CK$4:CK$23,0),_xlfn.RANK.EQ(CK12,CK$4:CK$23,0))</f>
        <v/>
      </c>
      <c r="CM12">
        <f>INDEX(Team_Summary!$A$1:$JF$21,MATCH(_xlfn.XLOOKUP($B12,Helpers!$C$4:$C$26,Helpers!$B$4:$B$26,"",0),Team_Summary!$A:$A,0),MATCH("Team_Defensive_Actions_Int",Team_Summary!$1:$1,0))/INDEX(Team_Summary!$A$1:$JF$21,MATCH(_xlfn.XLOOKUP($B12,Helpers!$C$4:$C$26,Helpers!$B$4:$B$26,"",0),Team_Summary!$A:$A,0),MATCH("Team_League Table_Overall_MP",Team_Summary!$1:$1,0))</f>
        <v/>
      </c>
      <c r="CN12" s="30">
        <f>IF(COUNTIF(CM$4:CM$23,CM12)&gt;1,"T"&amp;_xlfn.RANK.EQ(CM12,CM$4:CM$23,0),_xlfn.RANK.EQ(CM12,CM$4:CM$23,0))</f>
        <v/>
      </c>
      <c r="CO12">
        <f>INDEX(Team_Summary!$A$1:$JF$21,MATCH(_xlfn.XLOOKUP($B12,Helpers!$C$4:$C$26,Helpers!$B$4:$B$26,"",0),Team_Summary!$A:$A,0),MATCH("Team_Possession_Poss",Team_Summary!$1:$1,0))</f>
        <v/>
      </c>
      <c r="CP12" s="30">
        <f>IF(COUNTIF(CO$4:CO$23,CO12)&gt;1,"T"&amp;_xlfn.RANK.EQ(CO12,CO$4:CO$23,0),_xlfn.RANK.EQ(CO12,CO$4:CO$23,0))</f>
        <v/>
      </c>
      <c r="CQ12">
        <f>INDEX(Team_Summary!$A$1:$JF$21,MATCH(_xlfn.XLOOKUP($B12,Helpers!$C$4:$C$26,Helpers!$B$4:$B$26,"",0),Team_Summary!$A:$A,0),MATCH("Team_Possession_Def Pen",Team_Summary!$1:$1,0))/INDEX(Team_Summary!$A$1:$JF$21,MATCH(_xlfn.XLOOKUP($B12,Helpers!$C$4:$C$26,Helpers!$B$4:$B$26,"",0),Team_Summary!$A:$A,0),MATCH("Team_League Table_Overall_MP",Team_Summary!$1:$1,0))</f>
        <v/>
      </c>
      <c r="CR12" s="30">
        <f>IF(COUNTIF(CQ$4:CQ$23,CQ12)&gt;1,"T"&amp;_xlfn.RANK.EQ(CQ12,CQ$4:CQ$23,0),_xlfn.RANK.EQ(CQ12,CQ$4:CQ$23,0))</f>
        <v/>
      </c>
      <c r="CS12">
        <f>INDEX(Team_Summary!$A$1:$JF$21,MATCH(_xlfn.XLOOKUP($B12,Helpers!$C$4:$C$26,Helpers!$B$4:$B$26,"",0),Team_Summary!$A:$A,0),MATCH("Team_Possession_Def 3rd",Team_Summary!$1:$1,0))/INDEX(Team_Summary!$A$1:$JF$21,MATCH(_xlfn.XLOOKUP($B12,Helpers!$C$4:$C$26,Helpers!$B$4:$B$26,"",0),Team_Summary!$A:$A,0),MATCH("Team_League Table_Overall_MP",Team_Summary!$1:$1,0))</f>
        <v/>
      </c>
      <c r="CT12" s="30">
        <f>IF(COUNTIF(CS$4:CS$23,CS12)&gt;1,"T"&amp;_xlfn.RANK.EQ(CS12,CS$4:CS$23,0),_xlfn.RANK.EQ(CS12,CS$4:CS$23,0))</f>
        <v/>
      </c>
      <c r="CU12">
        <f>INDEX(Team_Summary!$A$1:$JF$21,MATCH(_xlfn.XLOOKUP($B12,Helpers!$C$4:$C$26,Helpers!$B$4:$B$26,"",0),Team_Summary!$A:$A,0),MATCH("Team_Possession_Mid 3rd",Team_Summary!$1:$1,0))/INDEX(Team_Summary!$A$1:$JF$21,MATCH(_xlfn.XLOOKUP($B12,Helpers!$C$4:$C$26,Helpers!$B$4:$B$26,"",0),Team_Summary!$A:$A,0),MATCH("Team_League Table_Overall_MP",Team_Summary!$1:$1,0))</f>
        <v/>
      </c>
      <c r="CV12" s="30">
        <f>IF(COUNTIF(CU$4:CU$23,CU12)&gt;1,"T"&amp;_xlfn.RANK.EQ(CU12,CU$4:CU$23,0),_xlfn.RANK.EQ(CU12,CU$4:CU$23,0))</f>
        <v/>
      </c>
      <c r="CW12">
        <f>INDEX(Team_Summary!$A$1:$JF$21,MATCH(_xlfn.XLOOKUP($B12,Helpers!$C$4:$C$26,Helpers!$B$4:$B$26,"",0),Team_Summary!$A:$A,0),MATCH("Team_Possession_Att 3rd",Team_Summary!$1:$1,0))/INDEX(Team_Summary!$A$1:$JF$21,MATCH(_xlfn.XLOOKUP($B12,Helpers!$C$4:$C$26,Helpers!$B$4:$B$26,"",0),Team_Summary!$A:$A,0),MATCH("Team_League Table_Overall_MP",Team_Summary!$1:$1,0))</f>
        <v/>
      </c>
      <c r="CX12" s="30">
        <f>IF(COUNTIF(CW$4:CW$23,CW12)&gt;1,"T"&amp;_xlfn.RANK.EQ(CW12,CW$4:CW$23,0),_xlfn.RANK.EQ(CW12,CW$4:CW$23,0))</f>
        <v/>
      </c>
      <c r="CY12">
        <f>INDEX(Team_Summary!$A$1:$JF$21,MATCH(_xlfn.XLOOKUP($B12,Helpers!$C$4:$C$26,Helpers!$B$4:$B$26,"",0),Team_Summary!$A:$A,0),MATCH("Team_Possession_Att Pen",Team_Summary!$1:$1,0))/INDEX(Team_Summary!$A$1:$JF$21,MATCH(_xlfn.XLOOKUP($B12,Helpers!$C$4:$C$26,Helpers!$B$4:$B$26,"",0),Team_Summary!$A:$A,0),MATCH("Team_League Table_Overall_MP",Team_Summary!$1:$1,0))</f>
        <v/>
      </c>
      <c r="CZ12" s="30">
        <f>IF(COUNTIF(CY$4:CY$23,CY12)&gt;1,"T"&amp;_xlfn.RANK.EQ(CY12,CY$4:CY$23,0),_xlfn.RANK.EQ(CY12,CY$4:CY$23,0))</f>
        <v/>
      </c>
      <c r="DA12">
        <f>INDEX(Team_Summary!$A$1:$JF$21,MATCH(_xlfn.XLOOKUP($B12,Helpers!$C$4:$C$26,Helpers!$B$4:$B$26,"",0),Team_Summary!$A:$A,0),MATCH("Team_Miscellaneous_Stats_Fls",Team_Summary!$1:$1,0))/INDEX(Team_Summary!$A$1:$JF$21,MATCH(_xlfn.XLOOKUP($B12,Helpers!$C$4:$C$26,Helpers!$B$4:$B$26,"",0),Team_Summary!$A:$A,0),MATCH("Team_League Table_Overall_MP",Team_Summary!$1:$1,0))</f>
        <v/>
      </c>
      <c r="DB12" s="30">
        <f>IF(COUNTIF(DA$4:DA$23,DA12)&gt;1,"T"&amp;_xlfn.RANK.EQ(DA12,DA$4:DA$23,1),_xlfn.RANK.EQ(DA12,DA$4:DA$23,1))</f>
        <v/>
      </c>
      <c r="DC12">
        <f>INDEX(Team_Summary!$A$1:$JF$21,MATCH(_xlfn.XLOOKUP($B12,Helpers!$C$4:$C$26,Helpers!$B$4:$B$26,"",0),Team_Summary!$A:$A,0),MATCH("Team_Miscellaneous_Stats_Fld",Team_Summary!$1:$1,0))/INDEX(Team_Summary!$A$1:$JF$21,MATCH(_xlfn.XLOOKUP($B12,Helpers!$C$4:$C$26,Helpers!$B$4:$B$26,"",0),Team_Summary!$A:$A,0),MATCH("Team_League Table_Overall_MP",Team_Summary!$1:$1,0))</f>
        <v/>
      </c>
      <c r="DD12" s="30">
        <f>IF(COUNTIF(DC$4:DC$23,DC12)&gt;1,"T"&amp;_xlfn.RANK.EQ(DC12,DC$4:DC$23,0),_xlfn.RANK.EQ(DC12,DC$4:DC$23,0))</f>
        <v/>
      </c>
      <c r="DE12">
        <f>INDEX(Team_Summary!$A$1:$JF$21,MATCH(_xlfn.XLOOKUP($B12,Helpers!$C$4:$C$26,Helpers!$B$4:$B$26,"",0),Team_Summary!$A:$A,0),MATCH("Team_Miscellaneous_Stats_Won",Team_Summary!$1:$1,0))/INDEX(Team_Summary!$A$1:$JF$21,MATCH(_xlfn.XLOOKUP($B12,Helpers!$C$4:$C$26,Helpers!$B$4:$B$26,"",0),Team_Summary!$A:$A,0),MATCH("Team_League Table_Overall_MP",Team_Summary!$1:$1,0))</f>
        <v/>
      </c>
      <c r="DF12" s="30">
        <f>IF(COUNTIF(DE$4:DE$23,DE12)&gt;1,"T"&amp;_xlfn.RANK.EQ(DE12,DE$4:DE$23,0),_xlfn.RANK.EQ(DE12,DE$4:DE$23,0))</f>
        <v/>
      </c>
      <c r="DG12">
        <f>INDEX(Team_Summary!$A$1:$JF$21,MATCH(_xlfn.XLOOKUP($B12,Helpers!$C$4:$C$26,Helpers!$B$4:$B$26,"",0),Team_Summary!$A:$A,0),MATCH("Team_Miscellaneous_Stats_Pkwon",Team_Summary!$1:$1,0))</f>
        <v/>
      </c>
      <c r="DH12" s="30">
        <f>IF(COUNTIF(DG$4:DG$23,DG12)&gt;1,"T"&amp;_xlfn.RANK.EQ(DG12,DG$4:DG$23,0),_xlfn.RANK.EQ(DG12,DG$4:DG$23,0))</f>
        <v/>
      </c>
      <c r="DI12">
        <f>INDEX(Team_Summary!$A$1:$JF$21,MATCH(_xlfn.XLOOKUP($B12,Helpers!$C$4:$C$26,Helpers!$B$4:$B$26,"",0),Team_Summary!$A:$A,0),MATCH("Team_Miscellaneous_Stats_Pkcon",Team_Summary!$1:$1,0))</f>
        <v/>
      </c>
      <c r="DJ12" s="30">
        <f>IF(COUNTIF(DI$4:DI$23,DI12)&gt;1,"T"&amp;_xlfn.RANK.EQ(DI12,DI$4:DI$23,1),_xlfn.RANK.EQ(DI12,DI$4:DI$23,1))</f>
        <v/>
      </c>
      <c r="DK12">
        <f>INDEX(Team_Summary!$A$1:$JF$21,MATCH(_xlfn.XLOOKUP($B12,Helpers!$C$4:$C$26,Helpers!$B$4:$B$26,"",0),Team_Summary!$A:$A,0),MATCH("Team_Playing_Time_Age",Team_Summary!$1:$1,0))</f>
        <v/>
      </c>
      <c r="DL12" s="30">
        <f>IF(COUNTIF(DK$4:DK$23,DK12)&gt;1,"T"&amp;_xlfn.RANK.EQ(DK12,DK$4:DK$23,1),_xlfn.RANK.EQ(DK12,DK$4:DK$23,1))</f>
        <v/>
      </c>
    </row>
    <row r="13">
      <c r="B13" t="inlineStr">
        <is>
          <t>FUL</t>
        </is>
      </c>
      <c r="C13">
        <f>INDEX(Team_Summary!$A$1:$JF$21,MATCH(_xlfn.XLOOKUP($B13,Helpers!$C$4:$C$26,Helpers!$B$4:$B$26,"",0),Team_Summary!$A:$A,0),MATCH("Team_League Table_Overall_GF",Team_Summary!$1:$1,0))</f>
        <v/>
      </c>
      <c r="D13" s="30">
        <f>IF(COUNTIF(C$4:C$23,C13)&gt;1,"T"&amp;_xlfn.RANK.EQ(C13,C$4:C$23,0),_xlfn.RANK.EQ(C13,C$4:C$23,0))</f>
        <v/>
      </c>
      <c r="E13">
        <f>INDEX(Team_Summary!$A$1:$JF$21,MATCH(_xlfn.XLOOKUP($B13,Helpers!$C$4:$C$26,Helpers!$B$4:$B$26,"",0),Team_Summary!$A:$A,0),MATCH("Team_League Table_Overall_GA",Team_Summary!$1:$1,0))</f>
        <v/>
      </c>
      <c r="F13" s="30">
        <f>IF(COUNTIF(E$4:E$23,E13)&gt;1,"T"&amp;_xlfn.RANK.EQ(E13,E$4:E$23,1),_xlfn.RANK.EQ(E13,E$4:E$23,1))</f>
        <v/>
      </c>
      <c r="G13">
        <f>INDEX(Team_Summary!$A$1:$JF$21,MATCH(_xlfn.XLOOKUP($B13,Helpers!$C$4:$C$26,Helpers!$B$4:$B$26,"",0),Team_Summary!$A:$A,0),MATCH("Team_League Table_Overall_GD",Team_Summary!$1:$1,0))</f>
        <v/>
      </c>
      <c r="H13" s="30">
        <f>IF(COUNTIF(G$4:G$23,G13)&gt;1,"T"&amp;_xlfn.RANK.EQ(G13,G$4:G$23,0),_xlfn.RANK.EQ(G13,G$4:G$23,0))</f>
        <v/>
      </c>
      <c r="I13" s="27">
        <f>G13/INDEX(Team_Summary!$A$1:$JF$21,MATCH(_xlfn.XLOOKUP($B13,Helpers!$C$4:$C$26,Helpers!$B$4:$B$26,"",0),Team_Summary!$A:$A,0),MATCH("Team_League Table_Overall_MP",Team_Summary!$1:$1,0))</f>
        <v/>
      </c>
      <c r="J13" s="30">
        <f>IF(COUNTIF(I$4:I$23,I13)&gt;1,"T"&amp;_xlfn.RANK.EQ(I13,I$4:I$23,0),_xlfn.RANK.EQ(I13,I$4:I$23,0))</f>
        <v/>
      </c>
      <c r="K13">
        <f>INDEX(Team_Summary!$A$1:$JF$21,MATCH(_xlfn.XLOOKUP($B13,Helpers!$C$4:$C$26,Helpers!$B$4:$B$26,"",0),Team_Summary!$A:$A,0),MATCH("Team_League Table_Home_W",Team_Summary!$1:$1,0))</f>
        <v/>
      </c>
      <c r="L13" s="30">
        <f>IF(COUNTIF(K$4:K$23,K13)&gt;1,"T"&amp;_xlfn.RANK.EQ(K13,K$4:K$23,0),_xlfn.RANK.EQ(K13,K$4:K$23,0))</f>
        <v/>
      </c>
      <c r="M13">
        <f>INDEX(Team_Summary!$A$1:$JF$21,MATCH(_xlfn.XLOOKUP($B13,Helpers!$C$4:$C$26,Helpers!$B$4:$B$26,"",0),Team_Summary!$A:$A,0),MATCH("Team_League Table_Away_W",Team_Summary!$1:$1,0))</f>
        <v/>
      </c>
      <c r="N13" s="30">
        <f>IF(COUNTIF(M$4:M$23,M13)&gt;1,"T"&amp;_xlfn.RANK.EQ(M13,M$4:M$23,0),_xlfn.RANK.EQ(M13,M$4:M$23,0))</f>
        <v/>
      </c>
      <c r="O13">
        <f>INDEX(Team_Summary!$A$1:$JF$21,MATCH(_xlfn.XLOOKUP($B13,Helpers!$C$4:$C$26,Helpers!$B$4:$B$26,"",0),Team_Summary!$A:$A,0),MATCH("Team_League Table_Home_D",Team_Summary!$1:$1,0))</f>
        <v/>
      </c>
      <c r="P13" s="30">
        <f>IF(COUNTIF(O$4:O$23,O13)&gt;1,"T"&amp;_xlfn.RANK.EQ(O13,O$4:O$23,1),_xlfn.RANK.EQ(O13,O$4:O$23,1))</f>
        <v/>
      </c>
      <c r="Q13">
        <f>INDEX(Team_Summary!$A$1:$JF$21,MATCH(_xlfn.XLOOKUP($B13,Helpers!$C$4:$C$26,Helpers!$B$4:$B$26,"",0),Team_Summary!$A:$A,0),MATCH("Team_League Table_Away_D",Team_Summary!$1:$1,0))</f>
        <v/>
      </c>
      <c r="R13" s="30">
        <f>IF(COUNTIF(Q$4:Q$23,Q13)&gt;1,"T"&amp;_xlfn.RANK.EQ(Q13,Q$4:Q$23,1),_xlfn.RANK.EQ(Q13,Q$4:Q$23,1))</f>
        <v/>
      </c>
      <c r="S13">
        <f>INDEX(Team_Summary!$A$1:$JF$21,MATCH(_xlfn.XLOOKUP($B13,Helpers!$C$4:$C$26,Helpers!$B$4:$B$26,"",0),Team_Summary!$A:$A,0),MATCH("Team_League Table_Home_L",Team_Summary!$1:$1,0))</f>
        <v/>
      </c>
      <c r="T13" s="30">
        <f>IF(COUNTIF(S$4:S$23,S13)&gt;1,"T"&amp;_xlfn.RANK.EQ(S13,S$4:S$23,1),_xlfn.RANK.EQ(S13,S$4:S$23,1))</f>
        <v/>
      </c>
      <c r="U13">
        <f>INDEX(Team_Summary!$A$1:$JF$21,MATCH(_xlfn.XLOOKUP($B13,Helpers!$C$4:$C$26,Helpers!$B$4:$B$26,"",0),Team_Summary!$A:$A,0),MATCH("Team_League Table_Away_L",Team_Summary!$1:$1,0))</f>
        <v/>
      </c>
      <c r="V13" s="30">
        <f>IF(COUNTIF(U$4:U$23,U13)&gt;1,"T"&amp;_xlfn.RANK.EQ(U13,U$4:U$23,1),_xlfn.RANK.EQ(U13,U$4:U$23,1))</f>
        <v/>
      </c>
      <c r="W13">
        <f>INDEX(Team_Summary!$A$1:$JF$21,MATCH(_xlfn.XLOOKUP($B13,Helpers!$C$4:$C$26,Helpers!$B$4:$B$26,"",0),Team_Summary!$A:$A,0),MATCH("Team_League Table_Home_Pts",Team_Summary!$1:$1,0))</f>
        <v/>
      </c>
      <c r="X13" s="30">
        <f>IF(COUNTIF(W$4:W$23,W13)&gt;1,"T"&amp;_xlfn.RANK.EQ(W13,W$4:W$23,0),_xlfn.RANK.EQ(W13,W$4:W$23,0))</f>
        <v/>
      </c>
      <c r="Y13">
        <f>INDEX(Team_Summary!$A$1:$JF$21,MATCH(_xlfn.XLOOKUP($B13,Helpers!$C$4:$C$26,Helpers!$B$4:$B$26,"",0),Team_Summary!$A:$A,0),MATCH("Team_League Table_Away_Pts",Team_Summary!$1:$1,0))</f>
        <v/>
      </c>
      <c r="Z13" s="30">
        <f>IF(COUNTIF(Y$4:Y$23,Y13)&gt;1,"T"&amp;_xlfn.RANK.EQ(Y13,Y$4:Y$23,0),_xlfn.RANK.EQ(Y13,Y$4:Y$23,0))</f>
        <v/>
      </c>
      <c r="AA13">
        <f>INDEX(Team_Summary!$A$1:$JF$21,MATCH(_xlfn.XLOOKUP($B13,Helpers!$C$4:$C$26,Helpers!$B$4:$B$26,"",0),Team_Summary!$A:$A,0),MATCH("Team_League Table_Home_Pts/MP",Team_Summary!$1:$1,0))</f>
        <v/>
      </c>
      <c r="AB13" s="30">
        <f>IF(COUNTIF(AA$4:AA$23,AA13)&gt;1,"T"&amp;_xlfn.RANK.EQ(AA13,AA$4:AA$23,0),_xlfn.RANK.EQ(AA13,AA$4:AA$23,0))</f>
        <v/>
      </c>
      <c r="AC13">
        <f>INDEX(Team_Summary!$A$1:$JF$21,MATCH(_xlfn.XLOOKUP($B13,Helpers!$C$4:$C$26,Helpers!$B$4:$B$26,"",0),Team_Summary!$A:$A,0),MATCH("Team_League Table_Away_Pts/MP",Team_Summary!$1:$1,0))</f>
        <v/>
      </c>
      <c r="AD13" s="30">
        <f>IF(COUNTIF(AC$4:AC$23,AC13)&gt;1,"T"&amp;_xlfn.RANK.EQ(AC13,AC$4:AC$23,0),_xlfn.RANK.EQ(AC13,AC$4:AC$23,0))</f>
        <v/>
      </c>
      <c r="AE13">
        <f>INDEX(Team_Summary!$A$1:$JF$21,MATCH(_xlfn.XLOOKUP($B13,Helpers!$C$4:$C$26,Helpers!$B$4:$B$26,"",0),Team_Summary!$A:$A,0),MATCH("Team_League Table_Overall_Pts/MP",Team_Summary!$1:$1,0))</f>
        <v/>
      </c>
      <c r="AF13" s="30">
        <f>IF(COUNTIF(AE$4:AE$23,AE13)&gt;1,"T"&amp;_xlfn.RANK.EQ(AE13,AE$4:AE$23,0),_xlfn.RANK.EQ(AE13,AE$4:AE$23,0))</f>
        <v/>
      </c>
      <c r="AG13">
        <f>INDEX(Team_Summary!$A$1:$JF$21,MATCH(_xlfn.XLOOKUP($B13,Helpers!$C$4:$C$26,Helpers!$B$4:$B$26,"",0),Team_Summary!$A:$A,0),MATCH("Team_League Table_Home_GF",Team_Summary!$1:$1,0))</f>
        <v/>
      </c>
      <c r="AH13" s="30">
        <f>IF(COUNTIF(AG$4:AG$23,AG13)&gt;1,"T"&amp;_xlfn.RANK.EQ(AG13,AG$4:AG$23,0),_xlfn.RANK.EQ(AG13,AG$4:AG$23,0))</f>
        <v/>
      </c>
      <c r="AI13">
        <f>INDEX(Team_Summary!$A$1:$JF$21,MATCH(_xlfn.XLOOKUP($B13,Helpers!$C$4:$C$26,Helpers!$B$4:$B$26,"",0),Team_Summary!$A:$A,0),MATCH("Team_League Table_Away_GF",Team_Summary!$1:$1,0))</f>
        <v/>
      </c>
      <c r="AJ13" s="30">
        <f>IF(COUNTIF(AI$4:AI$23,AI13)&gt;1,"T"&amp;_xlfn.RANK.EQ(AI13,AI$4:AI$23,0),_xlfn.RANK.EQ(AI13,AI$4:AI$23,0))</f>
        <v/>
      </c>
      <c r="AK13">
        <f>INDEX(Team_Summary!$A$1:$JF$21,MATCH(_xlfn.XLOOKUP($B13,Helpers!$C$4:$C$26,Helpers!$B$4:$B$26,"",0),Team_Summary!$A:$A,0),MATCH("Team_League Table_Home_GA",Team_Summary!$1:$1,0))</f>
        <v/>
      </c>
      <c r="AL13" s="30">
        <f>IF(COUNTIF(AK$4:AK$23,AK13)&gt;1,"T"&amp;_xlfn.RANK.EQ(AK13,AK$4:AK$23,1),_xlfn.RANK.EQ(AK13,AK$4:AK$23,1))</f>
        <v/>
      </c>
      <c r="AM13">
        <f>INDEX(Team_Summary!$A$1:$JF$21,MATCH(_xlfn.XLOOKUP($B13,Helpers!$C$4:$C$26,Helpers!$B$4:$B$26,"",0),Team_Summary!$A:$A,0),MATCH("Team_League Table_Away_GA",Team_Summary!$1:$1,0))</f>
        <v/>
      </c>
      <c r="AN13" s="30">
        <f>IF(COUNTIF(AM$4:AM$23,AM13)&gt;1,"T"&amp;_xlfn.RANK.EQ(AM13,AM$4:AM$23,1),_xlfn.RANK.EQ(AM13,AM$4:AM$23,1))</f>
        <v/>
      </c>
      <c r="AO13">
        <f>INDEX(Team_Summary!$A$1:$JF$21,MATCH(_xlfn.XLOOKUP($B13,Helpers!$C$4:$C$26,Helpers!$B$4:$B$26,"",0),Team_Summary!$A:$A,0),MATCH("Team_League Table_Home_GD",Team_Summary!$1:$1,0))</f>
        <v/>
      </c>
      <c r="AP13" s="30">
        <f>IF(COUNTIF(AO$4:AO$23,AO13)&gt;1,"T"&amp;_xlfn.RANK.EQ(AO13,AO$4:AO$23,0),_xlfn.RANK.EQ(AO13,AO$4:AO$23,0))</f>
        <v/>
      </c>
      <c r="AQ13">
        <f>INDEX(Team_Summary!$A$1:$JF$21,MATCH(_xlfn.XLOOKUP($B13,Helpers!$C$4:$C$26,Helpers!$B$4:$B$26,"",0),Team_Summary!$A:$A,0),MATCH("Team_League Table_Away_GD",Team_Summary!$1:$1,0))</f>
        <v/>
      </c>
      <c r="AR13" s="30">
        <f>IF(COUNTIF(AQ$4:AQ$23,AQ13)&gt;1,"T"&amp;_xlfn.RANK.EQ(AQ13,AQ$4:AQ$23,0),_xlfn.RANK.EQ(AQ13,AQ$4:AQ$23,0))</f>
        <v/>
      </c>
      <c r="AS13">
        <f>INDEX(Team_Summary!$A$1:$JF$21,MATCH(_xlfn.XLOOKUP($B13,Helpers!$C$4:$C$26,Helpers!$B$4:$B$26,"",0),Team_Summary!$A:$A,0),MATCH("Team_Standard_Stats_Gls",Team_Summary!$1:$1,0))</f>
        <v/>
      </c>
      <c r="AT13" s="30">
        <f>IF(COUNTIF(AS$4:AS$23,AS13)&gt;1,"T"&amp;_xlfn.RANK.EQ(AS13,AS$4:AS$23,0),_xlfn.RANK.EQ(AS13,AS$4:AS$23,0))</f>
        <v/>
      </c>
      <c r="AU13" s="27">
        <f>C13/INDEX(Team_Summary!$A$1:$JF$21,MATCH(_xlfn.XLOOKUP($B13,Helpers!$C$4:$C$26,Helpers!$B$4:$B$26,"",0),Team_Summary!$A:$A,0),MATCH("Team_League Table_Overall_MP",Team_Summary!$1:$1,0))</f>
        <v/>
      </c>
      <c r="AV13" s="30">
        <f>IF(COUNTIF(AU$4:AU$23,AU13)&gt;1,"T"&amp;_xlfn.RANK.EQ(AU13,AU$4:AU$23,0),_xlfn.RANK.EQ(AU13,AU$4:AU$23,0))</f>
        <v/>
      </c>
      <c r="AW13">
        <f>INDEX(Team_Summary!$A$1:$JF$21,MATCH(_xlfn.XLOOKUP($B13,Helpers!$C$4:$C$26,Helpers!$B$4:$B$26,"",0),Team_Summary!$A:$A,0),MATCH("Team_Standard_Stats_G-PK",Team_Summary!$1:$1,0))</f>
        <v/>
      </c>
      <c r="AX13" s="30">
        <f>IF(COUNTIF(AW$4:AW$23,AW13)&gt;1,"T"&amp;_xlfn.RANK.EQ(AW13,AW$4:AW$23,0),_xlfn.RANK.EQ(AW13,AW$4:AW$23,0))</f>
        <v/>
      </c>
      <c r="AY13">
        <f>INDEX(Team_Summary!$A$1:$JF$21,MATCH(_xlfn.XLOOKUP($B13,Helpers!$C$4:$C$26,Helpers!$B$4:$B$26,"",0),Team_Summary!$A:$A,0),MATCH("Team_Standard_Stats_PK",Team_Summary!$1:$1,0))</f>
        <v/>
      </c>
      <c r="AZ13" s="30">
        <f>IF(COUNTIF(AY$4:AY$23,AY13)&gt;1,"T"&amp;_xlfn.RANK.EQ(AY13,AY$4:AY$23,0),_xlfn.RANK.EQ(AY13,AY$4:AY$23,0))</f>
        <v/>
      </c>
      <c r="BA13">
        <f>INDEX(Team_Summary!$A$1:$JF$21,MATCH(_xlfn.XLOOKUP($B13,Helpers!$C$4:$C$26,Helpers!$B$4:$B$26,"",0),Team_Summary!$A:$A,0),MATCH("Team_Standard_Stats_Ast.1",Team_Summary!$1:$1,0))</f>
        <v/>
      </c>
      <c r="BB13" s="30">
        <f>IF(COUNTIF(BA$4:BA$23,BA13)&gt;1,"T"&amp;_xlfn.RANK.EQ(BA13,BA$4:BA$23,0),_xlfn.RANK.EQ(BA13,BA$4:BA$23,0))</f>
        <v/>
      </c>
      <c r="BC13">
        <f>INDEX(Team_Summary!$A$1:$JF$21,MATCH(_xlfn.XLOOKUP($B13,Helpers!$C$4:$C$26,Helpers!$B$4:$B$26,"",0),Team_Summary!$A:$A,0),MATCH("Team_Standard_Stats_Ast",Team_Summary!$1:$1,0))</f>
        <v/>
      </c>
      <c r="BD13" s="30">
        <f>IF(COUNTIF(BC$4:BC$23,BC13)&gt;1,"T"&amp;_xlfn.RANK.EQ(BC13,BC$4:BC$23,0),_xlfn.RANK.EQ(BC13,BC$4:BC$23,0))</f>
        <v/>
      </c>
      <c r="BE13">
        <f>INDEX(Team_Summary!$A$1:$JF$21,MATCH(_xlfn.XLOOKUP($B13,Helpers!$C$4:$C$26,Helpers!$B$4:$B$26,"",0),Team_Summary!$A:$A,0),MATCH("Team_Miscellaneous_Stats_CrdY",Team_Summary!$1:$1,0))</f>
        <v/>
      </c>
      <c r="BF13" s="30">
        <f>IF(COUNTIF(BE$4:BE$23,BE13)&gt;1,"T"&amp;_xlfn.RANK.EQ(BE13,BE$4:BE$23,1),_xlfn.RANK.EQ(BE13,BE$4:BE$23,1))</f>
        <v/>
      </c>
      <c r="BG13" s="35">
        <f>BE13/INDEX(Team_Summary!$A$1:$JF$21,MATCH(_xlfn.XLOOKUP($B13,Helpers!$C$4:$C$26,Helpers!$B$4:$B$26,"",0),Team_Summary!$A:$A,0),MATCH("Team_League Table_Overall_MP",Team_Summary!$1:$1,0))</f>
        <v/>
      </c>
      <c r="BH13" s="30">
        <f>IF(COUNTIF(BG$4:BG$23,BG13)&gt;1,"T"&amp;_xlfn.RANK.EQ(BG13,BG$4:BG$23,1),_xlfn.RANK.EQ(BG13,BG$4:BG$23,1))</f>
        <v/>
      </c>
      <c r="BI13">
        <f>INDEX(Team_Summary!$A$1:$JF$21,MATCH(_xlfn.XLOOKUP($B13,Helpers!$C$4:$C$26,Helpers!$B$4:$B$26,"",0),Team_Summary!$A:$A,0),MATCH("Team_Miscellaneous_Stats_CrdR",Team_Summary!$1:$1,0))/INDEX(Team_Summary!$A$1:$JF$21,MATCH(_xlfn.XLOOKUP($B13,Helpers!$C$4:$C$26,Helpers!$B$4:$B$26,"",0),Team_Summary!$A:$A,0),MATCH("Team_League Table_Overall_MP",Team_Summary!$1:$1,0))</f>
        <v/>
      </c>
      <c r="BJ13" s="30">
        <f>IF(COUNTIF(BI$4:BI$23,BI13)&gt;1,"T"&amp;_xlfn.RANK.EQ(BI13,BI$4:BI$23,1),_xlfn.RANK.EQ(BI13,BI$4:BI$23,1))</f>
        <v/>
      </c>
      <c r="BK13">
        <f>INDEX(Team_Summary!$A$1:$JF$21,MATCH(_xlfn.XLOOKUP($B13,Helpers!$C$4:$C$26,Helpers!$B$4:$B$26,"",0),Team_Summary!$A:$A,0),MATCH("Team_Goalkeeping_SoTA",Team_Summary!$1:$1,0))/INDEX(Team_Summary!$A$1:$JF$21,MATCH(_xlfn.XLOOKUP($B13,Helpers!$C$4:$C$26,Helpers!$B$4:$B$26,"",0),Team_Summary!$A:$A,0),MATCH("Team_League Table_Overall_MP",Team_Summary!$1:$1,0))</f>
        <v/>
      </c>
      <c r="BL13" s="30">
        <f>IF(COUNTIF(BK$4:BK$23,BK13)&gt;1,"T"&amp;_xlfn.RANK.EQ(BK13,BK$4:BK$23,1),_xlfn.RANK.EQ(BK13,BK$4:BK$23,1))</f>
        <v/>
      </c>
      <c r="BM13">
        <f>INDEX(Team_Summary!$A$1:$JF$21,MATCH(_xlfn.XLOOKUP($B13,Helpers!$C$4:$C$26,Helpers!$B$4:$B$26,"",0),Team_Summary!$A:$A,0),MATCH("Team_Goalkeeping_Save%",Team_Summary!$1:$1,0))</f>
        <v/>
      </c>
      <c r="BN13" s="30">
        <f>IF(COUNTIF(BM$4:BM$23,BM13)&gt;1,"T"&amp;_xlfn.RANK.EQ(BM13,BM$4:BM$23,0),_xlfn.RANK.EQ(BM13,BM$4:BM$23,0))</f>
        <v/>
      </c>
      <c r="BO13">
        <f>INDEX(Team_Summary!$A$1:$JF$21,MATCH(_xlfn.XLOOKUP($B13,Helpers!$C$4:$C$26,Helpers!$B$4:$B$26,"",0),Team_Summary!$A:$A,0),MATCH("Team_Goalkeeping_CS%",Team_Summary!$1:$1,0))</f>
        <v/>
      </c>
      <c r="BP13" s="30">
        <f>IF(COUNTIF(BO$4:BO$23,BO13)&gt;1,"T"&amp;_xlfn.RANK.EQ(BO13,BO$4:BO$23,0),_xlfn.RANK.EQ(BO13,BO$4:BO$23,0))</f>
        <v/>
      </c>
      <c r="BQ13">
        <f>INDEX(Team_Summary!$A$1:$JF$21,MATCH(_xlfn.XLOOKUP($B13,Helpers!$C$4:$C$26,Helpers!$B$4:$B$26,"",0),Team_Summary!$A:$A,0),MATCH("Team_Goalkeeping_Save%.1",Team_Summary!$1:$1,0))</f>
        <v/>
      </c>
      <c r="BR13" s="30">
        <f>IF(COUNTIF(BQ$4:BQ$23,BQ13)&gt;1,"T"&amp;_xlfn.RANK.EQ(BQ13,BQ$4:BQ$23,0),_xlfn.RANK.EQ(BQ13,BQ$4:BQ$23,0))</f>
        <v/>
      </c>
      <c r="BS13">
        <f>INDEX(Team_Summary!$A$1:$JF$21,MATCH(_xlfn.XLOOKUP($B13,Helpers!$C$4:$C$26,Helpers!$B$4:$B$26,"",0),Team_Summary!$A:$A,0),MATCH("Team_Advanced_Goalkeeping_FK",Team_Summary!$1:$1,0))</f>
        <v/>
      </c>
      <c r="BT13" s="30">
        <f>IF(COUNTIF(BS$4:BS$23,BS13)&gt;1,"T"&amp;_xlfn.RANK.EQ(BS13,BS$4:BS$23,1),_xlfn.RANK.EQ(BS13,BS$4:BS$23,1))</f>
        <v/>
      </c>
      <c r="BU13">
        <f>INDEX(Team_Summary!$A$1:$JF$21,MATCH(_xlfn.XLOOKUP($B13,Helpers!$C$4:$C$26,Helpers!$B$4:$B$26,"",0),Team_Summary!$A:$A,0),MATCH("Team_Advanced_Goalkeeping_CK",Team_Summary!$1:$1,0))</f>
        <v/>
      </c>
      <c r="BV13" s="30">
        <f>IF(COUNTIF(BU$4:BU$23,BU13)&gt;1,"T"&amp;_xlfn.RANK.EQ(BU13,BU$4:BU$23,1),_xlfn.RANK.EQ(BU13,BU$4:BU$23,1))</f>
        <v/>
      </c>
      <c r="BW13">
        <f>INDEX(Team_Summary!$A$1:$JF$21,MATCH(_xlfn.XLOOKUP($B13,Helpers!$C$4:$C$26,Helpers!$B$4:$B$26,"",0),Team_Summary!$A:$A,0),MATCH("Team_Advanced_Goalkeeping_Stp%",Team_Summary!$1:$1,0))</f>
        <v/>
      </c>
      <c r="BX13" s="30">
        <f>IF(COUNTIF(BW$4:BW$23,BW13)&gt;1,"T"&amp;_xlfn.RANK.EQ(BW13,BW$4:BW$23,0),_xlfn.RANK.EQ(BW13,BW$4:BW$23,0))</f>
        <v/>
      </c>
      <c r="BY13">
        <f>INDEX(Team_Summary!$A$1:$JF$21,MATCH(_xlfn.XLOOKUP($B13,Helpers!$C$4:$C$26,Helpers!$B$4:$B$26,"",0),Team_Summary!$A:$A,0),MATCH("Team_Shooting_G/SoT",Team_Summary!$1:$1,0))</f>
        <v/>
      </c>
      <c r="BZ13" s="30">
        <f>IF(COUNTIF(BY$4:BY$23,BY13)&gt;1,"T"&amp;_xlfn.RANK.EQ(BY13,BY$4:BY$23,0),_xlfn.RANK.EQ(BY13,BY$4:BY$23,0))</f>
        <v/>
      </c>
      <c r="CA13">
        <f>INDEX(Team_Summary!$A$1:$JF$21,MATCH(_xlfn.XLOOKUP($B13,Helpers!$C$4:$C$26,Helpers!$B$4:$B$26,"",0),Team_Summary!$A:$A,0),MATCH("Team_Shooting_G/Sh",Team_Summary!$1:$1,0))</f>
        <v/>
      </c>
      <c r="CB13" s="30">
        <f>IF(COUNTIF(CA$4:CA$23,CA13)&gt;1,"T"&amp;_xlfn.RANK.EQ(CA13,CA$4:CA$23,0),_xlfn.RANK.EQ(CA13,CA$4:CA$23,0))</f>
        <v/>
      </c>
      <c r="CC13">
        <f>INDEX(Team_Summary!$A$1:$JF$21,MATCH(_xlfn.XLOOKUP($B13,Helpers!$C$4:$C$26,Helpers!$B$4:$B$26,"",0),Team_Summary!$A:$A,0),MATCH("Team_Shooting_SoT",Team_Summary!$1:$1,0))/INDEX(Team_Summary!$A$1:$JF$21,MATCH(_xlfn.XLOOKUP($B13,Helpers!$C$4:$C$26,Helpers!$B$4:$B$26,"",0),Team_Summary!$A:$A,0),MATCH("Team_League Table_Overall_MP",Team_Summary!$1:$1,0))</f>
        <v/>
      </c>
      <c r="CD13" s="30">
        <f>IF(COUNTIF(CC$4:CC$23,CC13)&gt;1,"T"&amp;_xlfn.RANK.EQ(CC13,CC$4:CC$23,0),_xlfn.RANK.EQ(CC13,CC$4:CC$23,0))</f>
        <v/>
      </c>
      <c r="CE13">
        <f>INDEX(Team_Summary!$A$1:$JF$21,MATCH(_xlfn.XLOOKUP($B13,Helpers!$C$4:$C$26,Helpers!$B$4:$B$26,"",0),Team_Summary!$A:$A,0),MATCH("Team_Shooting_SoT%",Team_Summary!$1:$1,0))</f>
        <v/>
      </c>
      <c r="CF13" s="30">
        <f>IF(COUNTIF(CE$4:CE$23,CE13)&gt;1,"T"&amp;_xlfn.RANK.EQ(CE13,CE$4:CE$23,0),_xlfn.RANK.EQ(CE13,CE$4:CE$23,0))</f>
        <v/>
      </c>
      <c r="CG13">
        <f>INDEX(Team_Summary!$A$1:$JF$21,MATCH(_xlfn.XLOOKUP($B13,Helpers!$C$4:$C$26,Helpers!$B$4:$B$26,"",0),Team_Summary!$A:$A,0),MATCH("Team_Pass_Types_CK",Team_Summary!$1:$1,0))/INDEX(Team_Summary!$A$1:$JF$21,MATCH(_xlfn.XLOOKUP($B13,Helpers!$C$4:$C$26,Helpers!$B$4:$B$26,"",0),Team_Summary!$A:$A,0),MATCH("Team_League Table_Overall_MP",Team_Summary!$1:$1,0))</f>
        <v/>
      </c>
      <c r="CH13" s="30">
        <f>IF(COUNTIF(CG$4:CG$23,CG13)&gt;1,"T"&amp;_xlfn.RANK.EQ(CG13,CG$4:CG$23,0),_xlfn.RANK.EQ(CG13,CG$4:CG$23,0))</f>
        <v/>
      </c>
      <c r="CI13">
        <f>INDEX(Team_Summary!$A$1:$JF$21,MATCH(_xlfn.XLOOKUP($B13,Helpers!$C$4:$C$26,Helpers!$B$4:$B$26,"",0),Team_Summary!$A:$A,0),MATCH("Team_Miscellaneous_Stats_TklW",Team_Summary!$1:$1,0))/INDEX(Team_Summary!$A$1:$JF$21,MATCH(_xlfn.XLOOKUP($B13,Helpers!$C$4:$C$26,Helpers!$B$4:$B$26,"",0),Team_Summary!$A:$A,0),MATCH("Team_League Table_Overall_MP",Team_Summary!$1:$1,0))</f>
        <v/>
      </c>
      <c r="CJ13" s="30">
        <f>IF(COUNTIF(CI$4:CI$23,CI13)&gt;1,"T"&amp;_xlfn.RANK.EQ(CI13,CI$4:CI$23,0),_xlfn.RANK.EQ(CI13,CI$4:CI$23,0))</f>
        <v/>
      </c>
      <c r="CK13">
        <f>INDEX(Team_Summary!$A$1:$JF$21,MATCH(_xlfn.XLOOKUP($B13,Helpers!$C$4:$C$26,Helpers!$B$4:$B$26,"",0),Team_Summary!$A:$A,0),MATCH("Team_Defensive_Actions_Sh",Team_Summary!$1:$1,0))/INDEX(Team_Summary!$A$1:$JF$21,MATCH(_xlfn.XLOOKUP($B13,Helpers!$C$4:$C$26,Helpers!$B$4:$B$26,"",0),Team_Summary!$A:$A,0),MATCH("Team_League Table_Overall_MP",Team_Summary!$1:$1,0))</f>
        <v/>
      </c>
      <c r="CL13" s="30">
        <f>IF(COUNTIF(CK$4:CK$23,CK13)&gt;1,"T"&amp;_xlfn.RANK.EQ(CK13,CK$4:CK$23,0),_xlfn.RANK.EQ(CK13,CK$4:CK$23,0))</f>
        <v/>
      </c>
      <c r="CM13">
        <f>INDEX(Team_Summary!$A$1:$JF$21,MATCH(_xlfn.XLOOKUP($B13,Helpers!$C$4:$C$26,Helpers!$B$4:$B$26,"",0),Team_Summary!$A:$A,0),MATCH("Team_Defensive_Actions_Int",Team_Summary!$1:$1,0))/INDEX(Team_Summary!$A$1:$JF$21,MATCH(_xlfn.XLOOKUP($B13,Helpers!$C$4:$C$26,Helpers!$B$4:$B$26,"",0),Team_Summary!$A:$A,0),MATCH("Team_League Table_Overall_MP",Team_Summary!$1:$1,0))</f>
        <v/>
      </c>
      <c r="CN13" s="30">
        <f>IF(COUNTIF(CM$4:CM$23,CM13)&gt;1,"T"&amp;_xlfn.RANK.EQ(CM13,CM$4:CM$23,0),_xlfn.RANK.EQ(CM13,CM$4:CM$23,0))</f>
        <v/>
      </c>
      <c r="CO13">
        <f>INDEX(Team_Summary!$A$1:$JF$21,MATCH(_xlfn.XLOOKUP($B13,Helpers!$C$4:$C$26,Helpers!$B$4:$B$26,"",0),Team_Summary!$A:$A,0),MATCH("Team_Possession_Poss",Team_Summary!$1:$1,0))</f>
        <v/>
      </c>
      <c r="CP13" s="30">
        <f>IF(COUNTIF(CO$4:CO$23,CO13)&gt;1,"T"&amp;_xlfn.RANK.EQ(CO13,CO$4:CO$23,0),_xlfn.RANK.EQ(CO13,CO$4:CO$23,0))</f>
        <v/>
      </c>
      <c r="CQ13">
        <f>INDEX(Team_Summary!$A$1:$JF$21,MATCH(_xlfn.XLOOKUP($B13,Helpers!$C$4:$C$26,Helpers!$B$4:$B$26,"",0),Team_Summary!$A:$A,0),MATCH("Team_Possession_Def Pen",Team_Summary!$1:$1,0))/INDEX(Team_Summary!$A$1:$JF$21,MATCH(_xlfn.XLOOKUP($B13,Helpers!$C$4:$C$26,Helpers!$B$4:$B$26,"",0),Team_Summary!$A:$A,0),MATCH("Team_League Table_Overall_MP",Team_Summary!$1:$1,0))</f>
        <v/>
      </c>
      <c r="CR13" s="30">
        <f>IF(COUNTIF(CQ$4:CQ$23,CQ13)&gt;1,"T"&amp;_xlfn.RANK.EQ(CQ13,CQ$4:CQ$23,0),_xlfn.RANK.EQ(CQ13,CQ$4:CQ$23,0))</f>
        <v/>
      </c>
      <c r="CS13">
        <f>INDEX(Team_Summary!$A$1:$JF$21,MATCH(_xlfn.XLOOKUP($B13,Helpers!$C$4:$C$26,Helpers!$B$4:$B$26,"",0),Team_Summary!$A:$A,0),MATCH("Team_Possession_Def 3rd",Team_Summary!$1:$1,0))/INDEX(Team_Summary!$A$1:$JF$21,MATCH(_xlfn.XLOOKUP($B13,Helpers!$C$4:$C$26,Helpers!$B$4:$B$26,"",0),Team_Summary!$A:$A,0),MATCH("Team_League Table_Overall_MP",Team_Summary!$1:$1,0))</f>
        <v/>
      </c>
      <c r="CT13" s="30">
        <f>IF(COUNTIF(CS$4:CS$23,CS13)&gt;1,"T"&amp;_xlfn.RANK.EQ(CS13,CS$4:CS$23,0),_xlfn.RANK.EQ(CS13,CS$4:CS$23,0))</f>
        <v/>
      </c>
      <c r="CU13">
        <f>INDEX(Team_Summary!$A$1:$JF$21,MATCH(_xlfn.XLOOKUP($B13,Helpers!$C$4:$C$26,Helpers!$B$4:$B$26,"",0),Team_Summary!$A:$A,0),MATCH("Team_Possession_Mid 3rd",Team_Summary!$1:$1,0))/INDEX(Team_Summary!$A$1:$JF$21,MATCH(_xlfn.XLOOKUP($B13,Helpers!$C$4:$C$26,Helpers!$B$4:$B$26,"",0),Team_Summary!$A:$A,0),MATCH("Team_League Table_Overall_MP",Team_Summary!$1:$1,0))</f>
        <v/>
      </c>
      <c r="CV13" s="30">
        <f>IF(COUNTIF(CU$4:CU$23,CU13)&gt;1,"T"&amp;_xlfn.RANK.EQ(CU13,CU$4:CU$23,0),_xlfn.RANK.EQ(CU13,CU$4:CU$23,0))</f>
        <v/>
      </c>
      <c r="CW13">
        <f>INDEX(Team_Summary!$A$1:$JF$21,MATCH(_xlfn.XLOOKUP($B13,Helpers!$C$4:$C$26,Helpers!$B$4:$B$26,"",0),Team_Summary!$A:$A,0),MATCH("Team_Possession_Att 3rd",Team_Summary!$1:$1,0))/INDEX(Team_Summary!$A$1:$JF$21,MATCH(_xlfn.XLOOKUP($B13,Helpers!$C$4:$C$26,Helpers!$B$4:$B$26,"",0),Team_Summary!$A:$A,0),MATCH("Team_League Table_Overall_MP",Team_Summary!$1:$1,0))</f>
        <v/>
      </c>
      <c r="CX13" s="30">
        <f>IF(COUNTIF(CW$4:CW$23,CW13)&gt;1,"T"&amp;_xlfn.RANK.EQ(CW13,CW$4:CW$23,0),_xlfn.RANK.EQ(CW13,CW$4:CW$23,0))</f>
        <v/>
      </c>
      <c r="CY13">
        <f>INDEX(Team_Summary!$A$1:$JF$21,MATCH(_xlfn.XLOOKUP($B13,Helpers!$C$4:$C$26,Helpers!$B$4:$B$26,"",0),Team_Summary!$A:$A,0),MATCH("Team_Possession_Att Pen",Team_Summary!$1:$1,0))/INDEX(Team_Summary!$A$1:$JF$21,MATCH(_xlfn.XLOOKUP($B13,Helpers!$C$4:$C$26,Helpers!$B$4:$B$26,"",0),Team_Summary!$A:$A,0),MATCH("Team_League Table_Overall_MP",Team_Summary!$1:$1,0))</f>
        <v/>
      </c>
      <c r="CZ13" s="30">
        <f>IF(COUNTIF(CY$4:CY$23,CY13)&gt;1,"T"&amp;_xlfn.RANK.EQ(CY13,CY$4:CY$23,0),_xlfn.RANK.EQ(CY13,CY$4:CY$23,0))</f>
        <v/>
      </c>
      <c r="DA13">
        <f>INDEX(Team_Summary!$A$1:$JF$21,MATCH(_xlfn.XLOOKUP($B13,Helpers!$C$4:$C$26,Helpers!$B$4:$B$26,"",0),Team_Summary!$A:$A,0),MATCH("Team_Miscellaneous_Stats_Fls",Team_Summary!$1:$1,0))/INDEX(Team_Summary!$A$1:$JF$21,MATCH(_xlfn.XLOOKUP($B13,Helpers!$C$4:$C$26,Helpers!$B$4:$B$26,"",0),Team_Summary!$A:$A,0),MATCH("Team_League Table_Overall_MP",Team_Summary!$1:$1,0))</f>
        <v/>
      </c>
      <c r="DB13" s="30">
        <f>IF(COUNTIF(DA$4:DA$23,DA13)&gt;1,"T"&amp;_xlfn.RANK.EQ(DA13,DA$4:DA$23,1),_xlfn.RANK.EQ(DA13,DA$4:DA$23,1))</f>
        <v/>
      </c>
      <c r="DC13">
        <f>INDEX(Team_Summary!$A$1:$JF$21,MATCH(_xlfn.XLOOKUP($B13,Helpers!$C$4:$C$26,Helpers!$B$4:$B$26,"",0),Team_Summary!$A:$A,0),MATCH("Team_Miscellaneous_Stats_Fld",Team_Summary!$1:$1,0))/INDEX(Team_Summary!$A$1:$JF$21,MATCH(_xlfn.XLOOKUP($B13,Helpers!$C$4:$C$26,Helpers!$B$4:$B$26,"",0),Team_Summary!$A:$A,0),MATCH("Team_League Table_Overall_MP",Team_Summary!$1:$1,0))</f>
        <v/>
      </c>
      <c r="DD13" s="30">
        <f>IF(COUNTIF(DC$4:DC$23,DC13)&gt;1,"T"&amp;_xlfn.RANK.EQ(DC13,DC$4:DC$23,0),_xlfn.RANK.EQ(DC13,DC$4:DC$23,0))</f>
        <v/>
      </c>
      <c r="DE13">
        <f>INDEX(Team_Summary!$A$1:$JF$21,MATCH(_xlfn.XLOOKUP($B13,Helpers!$C$4:$C$26,Helpers!$B$4:$B$26,"",0),Team_Summary!$A:$A,0),MATCH("Team_Miscellaneous_Stats_Won",Team_Summary!$1:$1,0))/INDEX(Team_Summary!$A$1:$JF$21,MATCH(_xlfn.XLOOKUP($B13,Helpers!$C$4:$C$26,Helpers!$B$4:$B$26,"",0),Team_Summary!$A:$A,0),MATCH("Team_League Table_Overall_MP",Team_Summary!$1:$1,0))</f>
        <v/>
      </c>
      <c r="DF13" s="30">
        <f>IF(COUNTIF(DE$4:DE$23,DE13)&gt;1,"T"&amp;_xlfn.RANK.EQ(DE13,DE$4:DE$23,0),_xlfn.RANK.EQ(DE13,DE$4:DE$23,0))</f>
        <v/>
      </c>
      <c r="DG13">
        <f>INDEX(Team_Summary!$A$1:$JF$21,MATCH(_xlfn.XLOOKUP($B13,Helpers!$C$4:$C$26,Helpers!$B$4:$B$26,"",0),Team_Summary!$A:$A,0),MATCH("Team_Miscellaneous_Stats_Pkwon",Team_Summary!$1:$1,0))</f>
        <v/>
      </c>
      <c r="DH13" s="30">
        <f>IF(COUNTIF(DG$4:DG$23,DG13)&gt;1,"T"&amp;_xlfn.RANK.EQ(DG13,DG$4:DG$23,0),_xlfn.RANK.EQ(DG13,DG$4:DG$23,0))</f>
        <v/>
      </c>
      <c r="DI13">
        <f>INDEX(Team_Summary!$A$1:$JF$21,MATCH(_xlfn.XLOOKUP($B13,Helpers!$C$4:$C$26,Helpers!$B$4:$B$26,"",0),Team_Summary!$A:$A,0),MATCH("Team_Miscellaneous_Stats_Pkcon",Team_Summary!$1:$1,0))</f>
        <v/>
      </c>
      <c r="DJ13" s="30">
        <f>IF(COUNTIF(DI$4:DI$23,DI13)&gt;1,"T"&amp;_xlfn.RANK.EQ(DI13,DI$4:DI$23,1),_xlfn.RANK.EQ(DI13,DI$4:DI$23,1))</f>
        <v/>
      </c>
      <c r="DK13">
        <f>INDEX(Team_Summary!$A$1:$JF$21,MATCH(_xlfn.XLOOKUP($B13,Helpers!$C$4:$C$26,Helpers!$B$4:$B$26,"",0),Team_Summary!$A:$A,0),MATCH("Team_Playing_Time_Age",Team_Summary!$1:$1,0))</f>
        <v/>
      </c>
      <c r="DL13" s="30">
        <f>IF(COUNTIF(DK$4:DK$23,DK13)&gt;1,"T"&amp;_xlfn.RANK.EQ(DK13,DK$4:DK$23,1),_xlfn.RANK.EQ(DK13,DK$4:DK$23,1))</f>
        <v/>
      </c>
    </row>
    <row r="14">
      <c r="B14" t="inlineStr">
        <is>
          <t>LEE</t>
        </is>
      </c>
      <c r="C14">
        <f>INDEX(Team_Summary!$A$1:$JF$21,MATCH(_xlfn.XLOOKUP($B14,Helpers!$C$4:$C$26,Helpers!$B$4:$B$26,"",0),Team_Summary!$A:$A,0),MATCH("Team_League Table_Overall_GF",Team_Summary!$1:$1,0))</f>
        <v/>
      </c>
      <c r="D14" s="30">
        <f>IF(COUNTIF(C$4:C$23,C14)&gt;1,"T"&amp;_xlfn.RANK.EQ(C14,C$4:C$23,0),_xlfn.RANK.EQ(C14,C$4:C$23,0))</f>
        <v/>
      </c>
      <c r="E14">
        <f>INDEX(Team_Summary!$A$1:$JF$21,MATCH(_xlfn.XLOOKUP($B14,Helpers!$C$4:$C$26,Helpers!$B$4:$B$26,"",0),Team_Summary!$A:$A,0),MATCH("Team_League Table_Overall_GA",Team_Summary!$1:$1,0))</f>
        <v/>
      </c>
      <c r="F14" s="30">
        <f>IF(COUNTIF(E$4:E$23,E14)&gt;1,"T"&amp;_xlfn.RANK.EQ(E14,E$4:E$23,1),_xlfn.RANK.EQ(E14,E$4:E$23,1))</f>
        <v/>
      </c>
      <c r="G14">
        <f>INDEX(Team_Summary!$A$1:$JF$21,MATCH(_xlfn.XLOOKUP($B14,Helpers!$C$4:$C$26,Helpers!$B$4:$B$26,"",0),Team_Summary!$A:$A,0),MATCH("Team_League Table_Overall_GD",Team_Summary!$1:$1,0))</f>
        <v/>
      </c>
      <c r="H14" s="30">
        <f>IF(COUNTIF(G$4:G$23,G14)&gt;1,"T"&amp;_xlfn.RANK.EQ(G14,G$4:G$23,0),_xlfn.RANK.EQ(G14,G$4:G$23,0))</f>
        <v/>
      </c>
      <c r="I14" s="27">
        <f>G14/INDEX(Team_Summary!$A$1:$JF$21,MATCH(_xlfn.XLOOKUP($B14,Helpers!$C$4:$C$26,Helpers!$B$4:$B$26,"",0),Team_Summary!$A:$A,0),MATCH("Team_League Table_Overall_MP",Team_Summary!$1:$1,0))</f>
        <v/>
      </c>
      <c r="J14" s="30">
        <f>IF(COUNTIF(I$4:I$23,I14)&gt;1,"T"&amp;_xlfn.RANK.EQ(I14,I$4:I$23,0),_xlfn.RANK.EQ(I14,I$4:I$23,0))</f>
        <v/>
      </c>
      <c r="K14">
        <f>INDEX(Team_Summary!$A$1:$JF$21,MATCH(_xlfn.XLOOKUP($B14,Helpers!$C$4:$C$26,Helpers!$B$4:$B$26,"",0),Team_Summary!$A:$A,0),MATCH("Team_League Table_Home_W",Team_Summary!$1:$1,0))</f>
        <v/>
      </c>
      <c r="L14" s="30">
        <f>IF(COUNTIF(K$4:K$23,K14)&gt;1,"T"&amp;_xlfn.RANK.EQ(K14,K$4:K$23,0),_xlfn.RANK.EQ(K14,K$4:K$23,0))</f>
        <v/>
      </c>
      <c r="M14">
        <f>INDEX(Team_Summary!$A$1:$JF$21,MATCH(_xlfn.XLOOKUP($B14,Helpers!$C$4:$C$26,Helpers!$B$4:$B$26,"",0),Team_Summary!$A:$A,0),MATCH("Team_League Table_Away_W",Team_Summary!$1:$1,0))</f>
        <v/>
      </c>
      <c r="N14" s="30">
        <f>IF(COUNTIF(M$4:M$23,M14)&gt;1,"T"&amp;_xlfn.RANK.EQ(M14,M$4:M$23,0),_xlfn.RANK.EQ(M14,M$4:M$23,0))</f>
        <v/>
      </c>
      <c r="O14">
        <f>INDEX(Team_Summary!$A$1:$JF$21,MATCH(_xlfn.XLOOKUP($B14,Helpers!$C$4:$C$26,Helpers!$B$4:$B$26,"",0),Team_Summary!$A:$A,0),MATCH("Team_League Table_Home_D",Team_Summary!$1:$1,0))</f>
        <v/>
      </c>
      <c r="P14" s="30">
        <f>IF(COUNTIF(O$4:O$23,O14)&gt;1,"T"&amp;_xlfn.RANK.EQ(O14,O$4:O$23,1),_xlfn.RANK.EQ(O14,O$4:O$23,1))</f>
        <v/>
      </c>
      <c r="Q14">
        <f>INDEX(Team_Summary!$A$1:$JF$21,MATCH(_xlfn.XLOOKUP($B14,Helpers!$C$4:$C$26,Helpers!$B$4:$B$26,"",0),Team_Summary!$A:$A,0),MATCH("Team_League Table_Away_D",Team_Summary!$1:$1,0))</f>
        <v/>
      </c>
      <c r="R14" s="30">
        <f>IF(COUNTIF(Q$4:Q$23,Q14)&gt;1,"T"&amp;_xlfn.RANK.EQ(Q14,Q$4:Q$23,1),_xlfn.RANK.EQ(Q14,Q$4:Q$23,1))</f>
        <v/>
      </c>
      <c r="S14">
        <f>INDEX(Team_Summary!$A$1:$JF$21,MATCH(_xlfn.XLOOKUP($B14,Helpers!$C$4:$C$26,Helpers!$B$4:$B$26,"",0),Team_Summary!$A:$A,0),MATCH("Team_League Table_Home_L",Team_Summary!$1:$1,0))</f>
        <v/>
      </c>
      <c r="T14" s="30">
        <f>IF(COUNTIF(S$4:S$23,S14)&gt;1,"T"&amp;_xlfn.RANK.EQ(S14,S$4:S$23,1),_xlfn.RANK.EQ(S14,S$4:S$23,1))</f>
        <v/>
      </c>
      <c r="U14">
        <f>INDEX(Team_Summary!$A$1:$JF$21,MATCH(_xlfn.XLOOKUP($B14,Helpers!$C$4:$C$26,Helpers!$B$4:$B$26,"",0),Team_Summary!$A:$A,0),MATCH("Team_League Table_Away_L",Team_Summary!$1:$1,0))</f>
        <v/>
      </c>
      <c r="V14" s="30">
        <f>IF(COUNTIF(U$4:U$23,U14)&gt;1,"T"&amp;_xlfn.RANK.EQ(U14,U$4:U$23,1),_xlfn.RANK.EQ(U14,U$4:U$23,1))</f>
        <v/>
      </c>
      <c r="W14">
        <f>INDEX(Team_Summary!$A$1:$JF$21,MATCH(_xlfn.XLOOKUP($B14,Helpers!$C$4:$C$26,Helpers!$B$4:$B$26,"",0),Team_Summary!$A:$A,0),MATCH("Team_League Table_Home_Pts",Team_Summary!$1:$1,0))</f>
        <v/>
      </c>
      <c r="X14" s="30">
        <f>IF(COUNTIF(W$4:W$23,W14)&gt;1,"T"&amp;_xlfn.RANK.EQ(W14,W$4:W$23,0),_xlfn.RANK.EQ(W14,W$4:W$23,0))</f>
        <v/>
      </c>
      <c r="Y14">
        <f>INDEX(Team_Summary!$A$1:$JF$21,MATCH(_xlfn.XLOOKUP($B14,Helpers!$C$4:$C$26,Helpers!$B$4:$B$26,"",0),Team_Summary!$A:$A,0),MATCH("Team_League Table_Away_Pts",Team_Summary!$1:$1,0))</f>
        <v/>
      </c>
      <c r="Z14" s="30">
        <f>IF(COUNTIF(Y$4:Y$23,Y14)&gt;1,"T"&amp;_xlfn.RANK.EQ(Y14,Y$4:Y$23,0),_xlfn.RANK.EQ(Y14,Y$4:Y$23,0))</f>
        <v/>
      </c>
      <c r="AA14">
        <f>INDEX(Team_Summary!$A$1:$JF$21,MATCH(_xlfn.XLOOKUP($B14,Helpers!$C$4:$C$26,Helpers!$B$4:$B$26,"",0),Team_Summary!$A:$A,0),MATCH("Team_League Table_Home_Pts/MP",Team_Summary!$1:$1,0))</f>
        <v/>
      </c>
      <c r="AB14" s="30">
        <f>IF(COUNTIF(AA$4:AA$23,AA14)&gt;1,"T"&amp;_xlfn.RANK.EQ(AA14,AA$4:AA$23,0),_xlfn.RANK.EQ(AA14,AA$4:AA$23,0))</f>
        <v/>
      </c>
      <c r="AC14">
        <f>INDEX(Team_Summary!$A$1:$JF$21,MATCH(_xlfn.XLOOKUP($B14,Helpers!$C$4:$C$26,Helpers!$B$4:$B$26,"",0),Team_Summary!$A:$A,0),MATCH("Team_League Table_Away_Pts/MP",Team_Summary!$1:$1,0))</f>
        <v/>
      </c>
      <c r="AD14" s="30">
        <f>IF(COUNTIF(AC$4:AC$23,AC14)&gt;1,"T"&amp;_xlfn.RANK.EQ(AC14,AC$4:AC$23,0),_xlfn.RANK.EQ(AC14,AC$4:AC$23,0))</f>
        <v/>
      </c>
      <c r="AE14">
        <f>INDEX(Team_Summary!$A$1:$JF$21,MATCH(_xlfn.XLOOKUP($B14,Helpers!$C$4:$C$26,Helpers!$B$4:$B$26,"",0),Team_Summary!$A:$A,0),MATCH("Team_League Table_Overall_Pts/MP",Team_Summary!$1:$1,0))</f>
        <v/>
      </c>
      <c r="AF14" s="30">
        <f>IF(COUNTIF(AE$4:AE$23,AE14)&gt;1,"T"&amp;_xlfn.RANK.EQ(AE14,AE$4:AE$23,0),_xlfn.RANK.EQ(AE14,AE$4:AE$23,0))</f>
        <v/>
      </c>
      <c r="AG14">
        <f>INDEX(Team_Summary!$A$1:$JF$21,MATCH(_xlfn.XLOOKUP($B14,Helpers!$C$4:$C$26,Helpers!$B$4:$B$26,"",0),Team_Summary!$A:$A,0),MATCH("Team_League Table_Home_GF",Team_Summary!$1:$1,0))</f>
        <v/>
      </c>
      <c r="AH14" s="30">
        <f>IF(COUNTIF(AG$4:AG$23,AG14)&gt;1,"T"&amp;_xlfn.RANK.EQ(AG14,AG$4:AG$23,0),_xlfn.RANK.EQ(AG14,AG$4:AG$23,0))</f>
        <v/>
      </c>
      <c r="AI14">
        <f>INDEX(Team_Summary!$A$1:$JF$21,MATCH(_xlfn.XLOOKUP($B14,Helpers!$C$4:$C$26,Helpers!$B$4:$B$26,"",0),Team_Summary!$A:$A,0),MATCH("Team_League Table_Away_GF",Team_Summary!$1:$1,0))</f>
        <v/>
      </c>
      <c r="AJ14" s="30">
        <f>IF(COUNTIF(AI$4:AI$23,AI14)&gt;1,"T"&amp;_xlfn.RANK.EQ(AI14,AI$4:AI$23,0),_xlfn.RANK.EQ(AI14,AI$4:AI$23,0))</f>
        <v/>
      </c>
      <c r="AK14">
        <f>INDEX(Team_Summary!$A$1:$JF$21,MATCH(_xlfn.XLOOKUP($B14,Helpers!$C$4:$C$26,Helpers!$B$4:$B$26,"",0),Team_Summary!$A:$A,0),MATCH("Team_League Table_Home_GA",Team_Summary!$1:$1,0))</f>
        <v/>
      </c>
      <c r="AL14" s="30">
        <f>IF(COUNTIF(AK$4:AK$23,AK14)&gt;1,"T"&amp;_xlfn.RANK.EQ(AK14,AK$4:AK$23,1),_xlfn.RANK.EQ(AK14,AK$4:AK$23,1))</f>
        <v/>
      </c>
      <c r="AM14">
        <f>INDEX(Team_Summary!$A$1:$JF$21,MATCH(_xlfn.XLOOKUP($B14,Helpers!$C$4:$C$26,Helpers!$B$4:$B$26,"",0),Team_Summary!$A:$A,0),MATCH("Team_League Table_Away_GA",Team_Summary!$1:$1,0))</f>
        <v/>
      </c>
      <c r="AN14" s="30">
        <f>IF(COUNTIF(AM$4:AM$23,AM14)&gt;1,"T"&amp;_xlfn.RANK.EQ(AM14,AM$4:AM$23,1),_xlfn.RANK.EQ(AM14,AM$4:AM$23,1))</f>
        <v/>
      </c>
      <c r="AO14">
        <f>INDEX(Team_Summary!$A$1:$JF$21,MATCH(_xlfn.XLOOKUP($B14,Helpers!$C$4:$C$26,Helpers!$B$4:$B$26,"",0),Team_Summary!$A:$A,0),MATCH("Team_League Table_Home_GD",Team_Summary!$1:$1,0))</f>
        <v/>
      </c>
      <c r="AP14" s="30">
        <f>IF(COUNTIF(AO$4:AO$23,AO14)&gt;1,"T"&amp;_xlfn.RANK.EQ(AO14,AO$4:AO$23,0),_xlfn.RANK.EQ(AO14,AO$4:AO$23,0))</f>
        <v/>
      </c>
      <c r="AQ14">
        <f>INDEX(Team_Summary!$A$1:$JF$21,MATCH(_xlfn.XLOOKUP($B14,Helpers!$C$4:$C$26,Helpers!$B$4:$B$26,"",0),Team_Summary!$A:$A,0),MATCH("Team_League Table_Away_GD",Team_Summary!$1:$1,0))</f>
        <v/>
      </c>
      <c r="AR14" s="30">
        <f>IF(COUNTIF(AQ$4:AQ$23,AQ14)&gt;1,"T"&amp;_xlfn.RANK.EQ(AQ14,AQ$4:AQ$23,0),_xlfn.RANK.EQ(AQ14,AQ$4:AQ$23,0))</f>
        <v/>
      </c>
      <c r="AS14">
        <f>INDEX(Team_Summary!$A$1:$JF$21,MATCH(_xlfn.XLOOKUP($B14,Helpers!$C$4:$C$26,Helpers!$B$4:$B$26,"",0),Team_Summary!$A:$A,0),MATCH("Team_Standard_Stats_Gls",Team_Summary!$1:$1,0))</f>
        <v/>
      </c>
      <c r="AT14" s="30">
        <f>IF(COUNTIF(AS$4:AS$23,AS14)&gt;1,"T"&amp;_xlfn.RANK.EQ(AS14,AS$4:AS$23,0),_xlfn.RANK.EQ(AS14,AS$4:AS$23,0))</f>
        <v/>
      </c>
      <c r="AU14" s="27">
        <f>C14/INDEX(Team_Summary!$A$1:$JF$21,MATCH(_xlfn.XLOOKUP($B14,Helpers!$C$4:$C$26,Helpers!$B$4:$B$26,"",0),Team_Summary!$A:$A,0),MATCH("Team_League Table_Overall_MP",Team_Summary!$1:$1,0))</f>
        <v/>
      </c>
      <c r="AV14" s="30">
        <f>IF(COUNTIF(AU$4:AU$23,AU14)&gt;1,"T"&amp;_xlfn.RANK.EQ(AU14,AU$4:AU$23,0),_xlfn.RANK.EQ(AU14,AU$4:AU$23,0))</f>
        <v/>
      </c>
      <c r="AW14">
        <f>INDEX(Team_Summary!$A$1:$JF$21,MATCH(_xlfn.XLOOKUP($B14,Helpers!$C$4:$C$26,Helpers!$B$4:$B$26,"",0),Team_Summary!$A:$A,0),MATCH("Team_Standard_Stats_G-PK",Team_Summary!$1:$1,0))</f>
        <v/>
      </c>
      <c r="AX14" s="30">
        <f>IF(COUNTIF(AW$4:AW$23,AW14)&gt;1,"T"&amp;_xlfn.RANK.EQ(AW14,AW$4:AW$23,0),_xlfn.RANK.EQ(AW14,AW$4:AW$23,0))</f>
        <v/>
      </c>
      <c r="AY14">
        <f>INDEX(Team_Summary!$A$1:$JF$21,MATCH(_xlfn.XLOOKUP($B14,Helpers!$C$4:$C$26,Helpers!$B$4:$B$26,"",0),Team_Summary!$A:$A,0),MATCH("Team_Standard_Stats_PK",Team_Summary!$1:$1,0))</f>
        <v/>
      </c>
      <c r="AZ14" s="30">
        <f>IF(COUNTIF(AY$4:AY$23,AY14)&gt;1,"T"&amp;_xlfn.RANK.EQ(AY14,AY$4:AY$23,0),_xlfn.RANK.EQ(AY14,AY$4:AY$23,0))</f>
        <v/>
      </c>
      <c r="BA14">
        <f>INDEX(Team_Summary!$A$1:$JF$21,MATCH(_xlfn.XLOOKUP($B14,Helpers!$C$4:$C$26,Helpers!$B$4:$B$26,"",0),Team_Summary!$A:$A,0),MATCH("Team_Standard_Stats_Ast.1",Team_Summary!$1:$1,0))</f>
        <v/>
      </c>
      <c r="BB14" s="30">
        <f>IF(COUNTIF(BA$4:BA$23,BA14)&gt;1,"T"&amp;_xlfn.RANK.EQ(BA14,BA$4:BA$23,0),_xlfn.RANK.EQ(BA14,BA$4:BA$23,0))</f>
        <v/>
      </c>
      <c r="BC14">
        <f>INDEX(Team_Summary!$A$1:$JF$21,MATCH(_xlfn.XLOOKUP($B14,Helpers!$C$4:$C$26,Helpers!$B$4:$B$26,"",0),Team_Summary!$A:$A,0),MATCH("Team_Standard_Stats_Ast",Team_Summary!$1:$1,0))</f>
        <v/>
      </c>
      <c r="BD14" s="30">
        <f>IF(COUNTIF(BC$4:BC$23,BC14)&gt;1,"T"&amp;_xlfn.RANK.EQ(BC14,BC$4:BC$23,0),_xlfn.RANK.EQ(BC14,BC$4:BC$23,0))</f>
        <v/>
      </c>
      <c r="BE14">
        <f>INDEX(Team_Summary!$A$1:$JF$21,MATCH(_xlfn.XLOOKUP($B14,Helpers!$C$4:$C$26,Helpers!$B$4:$B$26,"",0),Team_Summary!$A:$A,0),MATCH("Team_Miscellaneous_Stats_CrdY",Team_Summary!$1:$1,0))</f>
        <v/>
      </c>
      <c r="BF14" s="30">
        <f>IF(COUNTIF(BE$4:BE$23,BE14)&gt;1,"T"&amp;_xlfn.RANK.EQ(BE14,BE$4:BE$23,1),_xlfn.RANK.EQ(BE14,BE$4:BE$23,1))</f>
        <v/>
      </c>
      <c r="BG14" s="35">
        <f>BE14/INDEX(Team_Summary!$A$1:$JF$21,MATCH(_xlfn.XLOOKUP($B14,Helpers!$C$4:$C$26,Helpers!$B$4:$B$26,"",0),Team_Summary!$A:$A,0),MATCH("Team_League Table_Overall_MP",Team_Summary!$1:$1,0))</f>
        <v/>
      </c>
      <c r="BH14" s="30">
        <f>IF(COUNTIF(BG$4:BG$23,BG14)&gt;1,"T"&amp;_xlfn.RANK.EQ(BG14,BG$4:BG$23,1),_xlfn.RANK.EQ(BG14,BG$4:BG$23,1))</f>
        <v/>
      </c>
      <c r="BI14">
        <f>INDEX(Team_Summary!$A$1:$JF$21,MATCH(_xlfn.XLOOKUP($B14,Helpers!$C$4:$C$26,Helpers!$B$4:$B$26,"",0),Team_Summary!$A:$A,0),MATCH("Team_Miscellaneous_Stats_CrdR",Team_Summary!$1:$1,0))/INDEX(Team_Summary!$A$1:$JF$21,MATCH(_xlfn.XLOOKUP($B14,Helpers!$C$4:$C$26,Helpers!$B$4:$B$26,"",0),Team_Summary!$A:$A,0),MATCH("Team_League Table_Overall_MP",Team_Summary!$1:$1,0))</f>
        <v/>
      </c>
      <c r="BJ14" s="30">
        <f>IF(COUNTIF(BI$4:BI$23,BI14)&gt;1,"T"&amp;_xlfn.RANK.EQ(BI14,BI$4:BI$23,1),_xlfn.RANK.EQ(BI14,BI$4:BI$23,1))</f>
        <v/>
      </c>
      <c r="BK14">
        <f>INDEX(Team_Summary!$A$1:$JF$21,MATCH(_xlfn.XLOOKUP($B14,Helpers!$C$4:$C$26,Helpers!$B$4:$B$26,"",0),Team_Summary!$A:$A,0),MATCH("Team_Goalkeeping_SoTA",Team_Summary!$1:$1,0))/INDEX(Team_Summary!$A$1:$JF$21,MATCH(_xlfn.XLOOKUP($B14,Helpers!$C$4:$C$26,Helpers!$B$4:$B$26,"",0),Team_Summary!$A:$A,0),MATCH("Team_League Table_Overall_MP",Team_Summary!$1:$1,0))</f>
        <v/>
      </c>
      <c r="BL14" s="30">
        <f>IF(COUNTIF(BK$4:BK$23,BK14)&gt;1,"T"&amp;_xlfn.RANK.EQ(BK14,BK$4:BK$23,1),_xlfn.RANK.EQ(BK14,BK$4:BK$23,1))</f>
        <v/>
      </c>
      <c r="BM14">
        <f>INDEX(Team_Summary!$A$1:$JF$21,MATCH(_xlfn.XLOOKUP($B14,Helpers!$C$4:$C$26,Helpers!$B$4:$B$26,"",0),Team_Summary!$A:$A,0),MATCH("Team_Goalkeeping_Save%",Team_Summary!$1:$1,0))</f>
        <v/>
      </c>
      <c r="BN14" s="30">
        <f>IF(COUNTIF(BM$4:BM$23,BM14)&gt;1,"T"&amp;_xlfn.RANK.EQ(BM14,BM$4:BM$23,0),_xlfn.RANK.EQ(BM14,BM$4:BM$23,0))</f>
        <v/>
      </c>
      <c r="BO14">
        <f>INDEX(Team_Summary!$A$1:$JF$21,MATCH(_xlfn.XLOOKUP($B14,Helpers!$C$4:$C$26,Helpers!$B$4:$B$26,"",0),Team_Summary!$A:$A,0),MATCH("Team_Goalkeeping_CS%",Team_Summary!$1:$1,0))</f>
        <v/>
      </c>
      <c r="BP14" s="30">
        <f>IF(COUNTIF(BO$4:BO$23,BO14)&gt;1,"T"&amp;_xlfn.RANK.EQ(BO14,BO$4:BO$23,0),_xlfn.RANK.EQ(BO14,BO$4:BO$23,0))</f>
        <v/>
      </c>
      <c r="BQ14">
        <f>INDEX(Team_Summary!$A$1:$JF$21,MATCH(_xlfn.XLOOKUP($B14,Helpers!$C$4:$C$26,Helpers!$B$4:$B$26,"",0),Team_Summary!$A:$A,0),MATCH("Team_Goalkeeping_Save%.1",Team_Summary!$1:$1,0))</f>
        <v/>
      </c>
      <c r="BR14" s="30">
        <f>IF(COUNTIF(BQ$4:BQ$23,BQ14)&gt;1,"T"&amp;_xlfn.RANK.EQ(BQ14,BQ$4:BQ$23,0),_xlfn.RANK.EQ(BQ14,BQ$4:BQ$23,0))</f>
        <v/>
      </c>
      <c r="BS14">
        <f>INDEX(Team_Summary!$A$1:$JF$21,MATCH(_xlfn.XLOOKUP($B14,Helpers!$C$4:$C$26,Helpers!$B$4:$B$26,"",0),Team_Summary!$A:$A,0),MATCH("Team_Advanced_Goalkeeping_FK",Team_Summary!$1:$1,0))</f>
        <v/>
      </c>
      <c r="BT14" s="30">
        <f>IF(COUNTIF(BS$4:BS$23,BS14)&gt;1,"T"&amp;_xlfn.RANK.EQ(BS14,BS$4:BS$23,1),_xlfn.RANK.EQ(BS14,BS$4:BS$23,1))</f>
        <v/>
      </c>
      <c r="BU14">
        <f>INDEX(Team_Summary!$A$1:$JF$21,MATCH(_xlfn.XLOOKUP($B14,Helpers!$C$4:$C$26,Helpers!$B$4:$B$26,"",0),Team_Summary!$A:$A,0),MATCH("Team_Advanced_Goalkeeping_CK",Team_Summary!$1:$1,0))</f>
        <v/>
      </c>
      <c r="BV14" s="30">
        <f>IF(COUNTIF(BU$4:BU$23,BU14)&gt;1,"T"&amp;_xlfn.RANK.EQ(BU14,BU$4:BU$23,1),_xlfn.RANK.EQ(BU14,BU$4:BU$23,1))</f>
        <v/>
      </c>
      <c r="BW14">
        <f>INDEX(Team_Summary!$A$1:$JF$21,MATCH(_xlfn.XLOOKUP($B14,Helpers!$C$4:$C$26,Helpers!$B$4:$B$26,"",0),Team_Summary!$A:$A,0),MATCH("Team_Advanced_Goalkeeping_Stp%",Team_Summary!$1:$1,0))</f>
        <v/>
      </c>
      <c r="BX14" s="30">
        <f>IF(COUNTIF(BW$4:BW$23,BW14)&gt;1,"T"&amp;_xlfn.RANK.EQ(BW14,BW$4:BW$23,0),_xlfn.RANK.EQ(BW14,BW$4:BW$23,0))</f>
        <v/>
      </c>
      <c r="BY14">
        <f>INDEX(Team_Summary!$A$1:$JF$21,MATCH(_xlfn.XLOOKUP($B14,Helpers!$C$4:$C$26,Helpers!$B$4:$B$26,"",0),Team_Summary!$A:$A,0),MATCH("Team_Shooting_G/SoT",Team_Summary!$1:$1,0))</f>
        <v/>
      </c>
      <c r="BZ14" s="30">
        <f>IF(COUNTIF(BY$4:BY$23,BY14)&gt;1,"T"&amp;_xlfn.RANK.EQ(BY14,BY$4:BY$23,0),_xlfn.RANK.EQ(BY14,BY$4:BY$23,0))</f>
        <v/>
      </c>
      <c r="CA14">
        <f>INDEX(Team_Summary!$A$1:$JF$21,MATCH(_xlfn.XLOOKUP($B14,Helpers!$C$4:$C$26,Helpers!$B$4:$B$26,"",0),Team_Summary!$A:$A,0),MATCH("Team_Shooting_G/Sh",Team_Summary!$1:$1,0))</f>
        <v/>
      </c>
      <c r="CB14" s="30">
        <f>IF(COUNTIF(CA$4:CA$23,CA14)&gt;1,"T"&amp;_xlfn.RANK.EQ(CA14,CA$4:CA$23,0),_xlfn.RANK.EQ(CA14,CA$4:CA$23,0))</f>
        <v/>
      </c>
      <c r="CC14">
        <f>INDEX(Team_Summary!$A$1:$JF$21,MATCH(_xlfn.XLOOKUP($B14,Helpers!$C$4:$C$26,Helpers!$B$4:$B$26,"",0),Team_Summary!$A:$A,0),MATCH("Team_Shooting_SoT",Team_Summary!$1:$1,0))/INDEX(Team_Summary!$A$1:$JF$21,MATCH(_xlfn.XLOOKUP($B14,Helpers!$C$4:$C$26,Helpers!$B$4:$B$26,"",0),Team_Summary!$A:$A,0),MATCH("Team_League Table_Overall_MP",Team_Summary!$1:$1,0))</f>
        <v/>
      </c>
      <c r="CD14" s="30">
        <f>IF(COUNTIF(CC$4:CC$23,CC14)&gt;1,"T"&amp;_xlfn.RANK.EQ(CC14,CC$4:CC$23,0),_xlfn.RANK.EQ(CC14,CC$4:CC$23,0))</f>
        <v/>
      </c>
      <c r="CE14">
        <f>INDEX(Team_Summary!$A$1:$JF$21,MATCH(_xlfn.XLOOKUP($B14,Helpers!$C$4:$C$26,Helpers!$B$4:$B$26,"",0),Team_Summary!$A:$A,0),MATCH("Team_Shooting_SoT%",Team_Summary!$1:$1,0))</f>
        <v/>
      </c>
      <c r="CF14" s="30">
        <f>IF(COUNTIF(CE$4:CE$23,CE14)&gt;1,"T"&amp;_xlfn.RANK.EQ(CE14,CE$4:CE$23,0),_xlfn.RANK.EQ(CE14,CE$4:CE$23,0))</f>
        <v/>
      </c>
      <c r="CG14">
        <f>INDEX(Team_Summary!$A$1:$JF$21,MATCH(_xlfn.XLOOKUP($B14,Helpers!$C$4:$C$26,Helpers!$B$4:$B$26,"",0),Team_Summary!$A:$A,0),MATCH("Team_Pass_Types_CK",Team_Summary!$1:$1,0))/INDEX(Team_Summary!$A$1:$JF$21,MATCH(_xlfn.XLOOKUP($B14,Helpers!$C$4:$C$26,Helpers!$B$4:$B$26,"",0),Team_Summary!$A:$A,0),MATCH("Team_League Table_Overall_MP",Team_Summary!$1:$1,0))</f>
        <v/>
      </c>
      <c r="CH14" s="30">
        <f>IF(COUNTIF(CG$4:CG$23,CG14)&gt;1,"T"&amp;_xlfn.RANK.EQ(CG14,CG$4:CG$23,0),_xlfn.RANK.EQ(CG14,CG$4:CG$23,0))</f>
        <v/>
      </c>
      <c r="CI14">
        <f>INDEX(Team_Summary!$A$1:$JF$21,MATCH(_xlfn.XLOOKUP($B14,Helpers!$C$4:$C$26,Helpers!$B$4:$B$26,"",0),Team_Summary!$A:$A,0),MATCH("Team_Miscellaneous_Stats_TklW",Team_Summary!$1:$1,0))/INDEX(Team_Summary!$A$1:$JF$21,MATCH(_xlfn.XLOOKUP($B14,Helpers!$C$4:$C$26,Helpers!$B$4:$B$26,"",0),Team_Summary!$A:$A,0),MATCH("Team_League Table_Overall_MP",Team_Summary!$1:$1,0))</f>
        <v/>
      </c>
      <c r="CJ14" s="30">
        <f>IF(COUNTIF(CI$4:CI$23,CI14)&gt;1,"T"&amp;_xlfn.RANK.EQ(CI14,CI$4:CI$23,0),_xlfn.RANK.EQ(CI14,CI$4:CI$23,0))</f>
        <v/>
      </c>
      <c r="CK14">
        <f>INDEX(Team_Summary!$A$1:$JF$21,MATCH(_xlfn.XLOOKUP($B14,Helpers!$C$4:$C$26,Helpers!$B$4:$B$26,"",0),Team_Summary!$A:$A,0),MATCH("Team_Defensive_Actions_Sh",Team_Summary!$1:$1,0))/INDEX(Team_Summary!$A$1:$JF$21,MATCH(_xlfn.XLOOKUP($B14,Helpers!$C$4:$C$26,Helpers!$B$4:$B$26,"",0),Team_Summary!$A:$A,0),MATCH("Team_League Table_Overall_MP",Team_Summary!$1:$1,0))</f>
        <v/>
      </c>
      <c r="CL14" s="30">
        <f>IF(COUNTIF(CK$4:CK$23,CK14)&gt;1,"T"&amp;_xlfn.RANK.EQ(CK14,CK$4:CK$23,0),_xlfn.RANK.EQ(CK14,CK$4:CK$23,0))</f>
        <v/>
      </c>
      <c r="CM14">
        <f>INDEX(Team_Summary!$A$1:$JF$21,MATCH(_xlfn.XLOOKUP($B14,Helpers!$C$4:$C$26,Helpers!$B$4:$B$26,"",0),Team_Summary!$A:$A,0),MATCH("Team_Defensive_Actions_Int",Team_Summary!$1:$1,0))/INDEX(Team_Summary!$A$1:$JF$21,MATCH(_xlfn.XLOOKUP($B14,Helpers!$C$4:$C$26,Helpers!$B$4:$B$26,"",0),Team_Summary!$A:$A,0),MATCH("Team_League Table_Overall_MP",Team_Summary!$1:$1,0))</f>
        <v/>
      </c>
      <c r="CN14" s="30">
        <f>IF(COUNTIF(CM$4:CM$23,CM14)&gt;1,"T"&amp;_xlfn.RANK.EQ(CM14,CM$4:CM$23,0),_xlfn.RANK.EQ(CM14,CM$4:CM$23,0))</f>
        <v/>
      </c>
      <c r="CO14">
        <f>INDEX(Team_Summary!$A$1:$JF$21,MATCH(_xlfn.XLOOKUP($B14,Helpers!$C$4:$C$26,Helpers!$B$4:$B$26,"",0),Team_Summary!$A:$A,0),MATCH("Team_Possession_Poss",Team_Summary!$1:$1,0))</f>
        <v/>
      </c>
      <c r="CP14" s="30">
        <f>IF(COUNTIF(CO$4:CO$23,CO14)&gt;1,"T"&amp;_xlfn.RANK.EQ(CO14,CO$4:CO$23,0),_xlfn.RANK.EQ(CO14,CO$4:CO$23,0))</f>
        <v/>
      </c>
      <c r="CQ14">
        <f>INDEX(Team_Summary!$A$1:$JF$21,MATCH(_xlfn.XLOOKUP($B14,Helpers!$C$4:$C$26,Helpers!$B$4:$B$26,"",0),Team_Summary!$A:$A,0),MATCH("Team_Possession_Def Pen",Team_Summary!$1:$1,0))/INDEX(Team_Summary!$A$1:$JF$21,MATCH(_xlfn.XLOOKUP($B14,Helpers!$C$4:$C$26,Helpers!$B$4:$B$26,"",0),Team_Summary!$A:$A,0),MATCH("Team_League Table_Overall_MP",Team_Summary!$1:$1,0))</f>
        <v/>
      </c>
      <c r="CR14" s="30">
        <f>IF(COUNTIF(CQ$4:CQ$23,CQ14)&gt;1,"T"&amp;_xlfn.RANK.EQ(CQ14,CQ$4:CQ$23,0),_xlfn.RANK.EQ(CQ14,CQ$4:CQ$23,0))</f>
        <v/>
      </c>
      <c r="CS14">
        <f>INDEX(Team_Summary!$A$1:$JF$21,MATCH(_xlfn.XLOOKUP($B14,Helpers!$C$4:$C$26,Helpers!$B$4:$B$26,"",0),Team_Summary!$A:$A,0),MATCH("Team_Possession_Def 3rd",Team_Summary!$1:$1,0))/INDEX(Team_Summary!$A$1:$JF$21,MATCH(_xlfn.XLOOKUP($B14,Helpers!$C$4:$C$26,Helpers!$B$4:$B$26,"",0),Team_Summary!$A:$A,0),MATCH("Team_League Table_Overall_MP",Team_Summary!$1:$1,0))</f>
        <v/>
      </c>
      <c r="CT14" s="30">
        <f>IF(COUNTIF(CS$4:CS$23,CS14)&gt;1,"T"&amp;_xlfn.RANK.EQ(CS14,CS$4:CS$23,0),_xlfn.RANK.EQ(CS14,CS$4:CS$23,0))</f>
        <v/>
      </c>
      <c r="CU14">
        <f>INDEX(Team_Summary!$A$1:$JF$21,MATCH(_xlfn.XLOOKUP($B14,Helpers!$C$4:$C$26,Helpers!$B$4:$B$26,"",0),Team_Summary!$A:$A,0),MATCH("Team_Possession_Mid 3rd",Team_Summary!$1:$1,0))/INDEX(Team_Summary!$A$1:$JF$21,MATCH(_xlfn.XLOOKUP($B14,Helpers!$C$4:$C$26,Helpers!$B$4:$B$26,"",0),Team_Summary!$A:$A,0),MATCH("Team_League Table_Overall_MP",Team_Summary!$1:$1,0))</f>
        <v/>
      </c>
      <c r="CV14" s="30">
        <f>IF(COUNTIF(CU$4:CU$23,CU14)&gt;1,"T"&amp;_xlfn.RANK.EQ(CU14,CU$4:CU$23,0),_xlfn.RANK.EQ(CU14,CU$4:CU$23,0))</f>
        <v/>
      </c>
      <c r="CW14">
        <f>INDEX(Team_Summary!$A$1:$JF$21,MATCH(_xlfn.XLOOKUP($B14,Helpers!$C$4:$C$26,Helpers!$B$4:$B$26,"",0),Team_Summary!$A:$A,0),MATCH("Team_Possession_Att 3rd",Team_Summary!$1:$1,0))/INDEX(Team_Summary!$A$1:$JF$21,MATCH(_xlfn.XLOOKUP($B14,Helpers!$C$4:$C$26,Helpers!$B$4:$B$26,"",0),Team_Summary!$A:$A,0),MATCH("Team_League Table_Overall_MP",Team_Summary!$1:$1,0))</f>
        <v/>
      </c>
      <c r="CX14" s="30">
        <f>IF(COUNTIF(CW$4:CW$23,CW14)&gt;1,"T"&amp;_xlfn.RANK.EQ(CW14,CW$4:CW$23,0),_xlfn.RANK.EQ(CW14,CW$4:CW$23,0))</f>
        <v/>
      </c>
      <c r="CY14">
        <f>INDEX(Team_Summary!$A$1:$JF$21,MATCH(_xlfn.XLOOKUP($B14,Helpers!$C$4:$C$26,Helpers!$B$4:$B$26,"",0),Team_Summary!$A:$A,0),MATCH("Team_Possession_Att Pen",Team_Summary!$1:$1,0))/INDEX(Team_Summary!$A$1:$JF$21,MATCH(_xlfn.XLOOKUP($B14,Helpers!$C$4:$C$26,Helpers!$B$4:$B$26,"",0),Team_Summary!$A:$A,0),MATCH("Team_League Table_Overall_MP",Team_Summary!$1:$1,0))</f>
        <v/>
      </c>
      <c r="CZ14" s="30">
        <f>IF(COUNTIF(CY$4:CY$23,CY14)&gt;1,"T"&amp;_xlfn.RANK.EQ(CY14,CY$4:CY$23,0),_xlfn.RANK.EQ(CY14,CY$4:CY$23,0))</f>
        <v/>
      </c>
      <c r="DA14">
        <f>INDEX(Team_Summary!$A$1:$JF$21,MATCH(_xlfn.XLOOKUP($B14,Helpers!$C$4:$C$26,Helpers!$B$4:$B$26,"",0),Team_Summary!$A:$A,0),MATCH("Team_Miscellaneous_Stats_Fls",Team_Summary!$1:$1,0))/INDEX(Team_Summary!$A$1:$JF$21,MATCH(_xlfn.XLOOKUP($B14,Helpers!$C$4:$C$26,Helpers!$B$4:$B$26,"",0),Team_Summary!$A:$A,0),MATCH("Team_League Table_Overall_MP",Team_Summary!$1:$1,0))</f>
        <v/>
      </c>
      <c r="DB14" s="30">
        <f>IF(COUNTIF(DA$4:DA$23,DA14)&gt;1,"T"&amp;_xlfn.RANK.EQ(DA14,DA$4:DA$23,1),_xlfn.RANK.EQ(DA14,DA$4:DA$23,1))</f>
        <v/>
      </c>
      <c r="DC14">
        <f>INDEX(Team_Summary!$A$1:$JF$21,MATCH(_xlfn.XLOOKUP($B14,Helpers!$C$4:$C$26,Helpers!$B$4:$B$26,"",0),Team_Summary!$A:$A,0),MATCH("Team_Miscellaneous_Stats_Fld",Team_Summary!$1:$1,0))/INDEX(Team_Summary!$A$1:$JF$21,MATCH(_xlfn.XLOOKUP($B14,Helpers!$C$4:$C$26,Helpers!$B$4:$B$26,"",0),Team_Summary!$A:$A,0),MATCH("Team_League Table_Overall_MP",Team_Summary!$1:$1,0))</f>
        <v/>
      </c>
      <c r="DD14" s="30">
        <f>IF(COUNTIF(DC$4:DC$23,DC14)&gt;1,"T"&amp;_xlfn.RANK.EQ(DC14,DC$4:DC$23,0),_xlfn.RANK.EQ(DC14,DC$4:DC$23,0))</f>
        <v/>
      </c>
      <c r="DE14">
        <f>INDEX(Team_Summary!$A$1:$JF$21,MATCH(_xlfn.XLOOKUP($B14,Helpers!$C$4:$C$26,Helpers!$B$4:$B$26,"",0),Team_Summary!$A:$A,0),MATCH("Team_Miscellaneous_Stats_Won",Team_Summary!$1:$1,0))/INDEX(Team_Summary!$A$1:$JF$21,MATCH(_xlfn.XLOOKUP($B14,Helpers!$C$4:$C$26,Helpers!$B$4:$B$26,"",0),Team_Summary!$A:$A,0),MATCH("Team_League Table_Overall_MP",Team_Summary!$1:$1,0))</f>
        <v/>
      </c>
      <c r="DF14" s="30">
        <f>IF(COUNTIF(DE$4:DE$23,DE14)&gt;1,"T"&amp;_xlfn.RANK.EQ(DE14,DE$4:DE$23,0),_xlfn.RANK.EQ(DE14,DE$4:DE$23,0))</f>
        <v/>
      </c>
      <c r="DG14">
        <f>INDEX(Team_Summary!$A$1:$JF$21,MATCH(_xlfn.XLOOKUP($B14,Helpers!$C$4:$C$26,Helpers!$B$4:$B$26,"",0),Team_Summary!$A:$A,0),MATCH("Team_Miscellaneous_Stats_Pkwon",Team_Summary!$1:$1,0))</f>
        <v/>
      </c>
      <c r="DH14" s="30">
        <f>IF(COUNTIF(DG$4:DG$23,DG14)&gt;1,"T"&amp;_xlfn.RANK.EQ(DG14,DG$4:DG$23,0),_xlfn.RANK.EQ(DG14,DG$4:DG$23,0))</f>
        <v/>
      </c>
      <c r="DI14">
        <f>INDEX(Team_Summary!$A$1:$JF$21,MATCH(_xlfn.XLOOKUP($B14,Helpers!$C$4:$C$26,Helpers!$B$4:$B$26,"",0),Team_Summary!$A:$A,0),MATCH("Team_Miscellaneous_Stats_Pkcon",Team_Summary!$1:$1,0))</f>
        <v/>
      </c>
      <c r="DJ14" s="30">
        <f>IF(COUNTIF(DI$4:DI$23,DI14)&gt;1,"T"&amp;_xlfn.RANK.EQ(DI14,DI$4:DI$23,1),_xlfn.RANK.EQ(DI14,DI$4:DI$23,1))</f>
        <v/>
      </c>
      <c r="DK14">
        <f>INDEX(Team_Summary!$A$1:$JF$21,MATCH(_xlfn.XLOOKUP($B14,Helpers!$C$4:$C$26,Helpers!$B$4:$B$26,"",0),Team_Summary!$A:$A,0),MATCH("Team_Playing_Time_Age",Team_Summary!$1:$1,0))</f>
        <v/>
      </c>
      <c r="DL14" s="30">
        <f>IF(COUNTIF(DK$4:DK$23,DK14)&gt;1,"T"&amp;_xlfn.RANK.EQ(DK14,DK$4:DK$23,1),_xlfn.RANK.EQ(DK14,DK$4:DK$23,1))</f>
        <v/>
      </c>
    </row>
    <row r="15">
      <c r="B15" t="inlineStr">
        <is>
          <t>LIV</t>
        </is>
      </c>
      <c r="C15">
        <f>INDEX(Team_Summary!$A$1:$JF$21,MATCH(_xlfn.XLOOKUP($B15,Helpers!$C$4:$C$26,Helpers!$B$4:$B$26,"",0),Team_Summary!$A:$A,0),MATCH("Team_League Table_Overall_GF",Team_Summary!$1:$1,0))</f>
        <v/>
      </c>
      <c r="D15" s="30">
        <f>IF(COUNTIF(C$4:C$23,C15)&gt;1,"T"&amp;_xlfn.RANK.EQ(C15,C$4:C$23,0),_xlfn.RANK.EQ(C15,C$4:C$23,0))</f>
        <v/>
      </c>
      <c r="E15">
        <f>INDEX(Team_Summary!$A$1:$JF$21,MATCH(_xlfn.XLOOKUP($B15,Helpers!$C$4:$C$26,Helpers!$B$4:$B$26,"",0),Team_Summary!$A:$A,0),MATCH("Team_League Table_Overall_GA",Team_Summary!$1:$1,0))</f>
        <v/>
      </c>
      <c r="F15" s="30">
        <f>IF(COUNTIF(E$4:E$23,E15)&gt;1,"T"&amp;_xlfn.RANK.EQ(E15,E$4:E$23,1),_xlfn.RANK.EQ(E15,E$4:E$23,1))</f>
        <v/>
      </c>
      <c r="G15">
        <f>INDEX(Team_Summary!$A$1:$JF$21,MATCH(_xlfn.XLOOKUP($B15,Helpers!$C$4:$C$26,Helpers!$B$4:$B$26,"",0),Team_Summary!$A:$A,0),MATCH("Team_League Table_Overall_GD",Team_Summary!$1:$1,0))</f>
        <v/>
      </c>
      <c r="H15" s="30">
        <f>IF(COUNTIF(G$4:G$23,G15)&gt;1,"T"&amp;_xlfn.RANK.EQ(G15,G$4:G$23,0),_xlfn.RANK.EQ(G15,G$4:G$23,0))</f>
        <v/>
      </c>
      <c r="I15" s="27">
        <f>G15/INDEX(Team_Summary!$A$1:$JF$21,MATCH(_xlfn.XLOOKUP($B15,Helpers!$C$4:$C$26,Helpers!$B$4:$B$26,"",0),Team_Summary!$A:$A,0),MATCH("Team_League Table_Overall_MP",Team_Summary!$1:$1,0))</f>
        <v/>
      </c>
      <c r="J15" s="30">
        <f>IF(COUNTIF(I$4:I$23,I15)&gt;1,"T"&amp;_xlfn.RANK.EQ(I15,I$4:I$23,0),_xlfn.RANK.EQ(I15,I$4:I$23,0))</f>
        <v/>
      </c>
      <c r="K15">
        <f>INDEX(Team_Summary!$A$1:$JF$21,MATCH(_xlfn.XLOOKUP($B15,Helpers!$C$4:$C$26,Helpers!$B$4:$B$26,"",0),Team_Summary!$A:$A,0),MATCH("Team_League Table_Home_W",Team_Summary!$1:$1,0))</f>
        <v/>
      </c>
      <c r="L15" s="30">
        <f>IF(COUNTIF(K$4:K$23,K15)&gt;1,"T"&amp;_xlfn.RANK.EQ(K15,K$4:K$23,0),_xlfn.RANK.EQ(K15,K$4:K$23,0))</f>
        <v/>
      </c>
      <c r="M15">
        <f>INDEX(Team_Summary!$A$1:$JF$21,MATCH(_xlfn.XLOOKUP($B15,Helpers!$C$4:$C$26,Helpers!$B$4:$B$26,"",0),Team_Summary!$A:$A,0),MATCH("Team_League Table_Away_W",Team_Summary!$1:$1,0))</f>
        <v/>
      </c>
      <c r="N15" s="30">
        <f>IF(COUNTIF(M$4:M$23,M15)&gt;1,"T"&amp;_xlfn.RANK.EQ(M15,M$4:M$23,0),_xlfn.RANK.EQ(M15,M$4:M$23,0))</f>
        <v/>
      </c>
      <c r="O15">
        <f>INDEX(Team_Summary!$A$1:$JF$21,MATCH(_xlfn.XLOOKUP($B15,Helpers!$C$4:$C$26,Helpers!$B$4:$B$26,"",0),Team_Summary!$A:$A,0),MATCH("Team_League Table_Home_D",Team_Summary!$1:$1,0))</f>
        <v/>
      </c>
      <c r="P15" s="30">
        <f>IF(COUNTIF(O$4:O$23,O15)&gt;1,"T"&amp;_xlfn.RANK.EQ(O15,O$4:O$23,1),_xlfn.RANK.EQ(O15,O$4:O$23,1))</f>
        <v/>
      </c>
      <c r="Q15">
        <f>INDEX(Team_Summary!$A$1:$JF$21,MATCH(_xlfn.XLOOKUP($B15,Helpers!$C$4:$C$26,Helpers!$B$4:$B$26,"",0),Team_Summary!$A:$A,0),MATCH("Team_League Table_Away_D",Team_Summary!$1:$1,0))</f>
        <v/>
      </c>
      <c r="R15" s="30">
        <f>IF(COUNTIF(Q$4:Q$23,Q15)&gt;1,"T"&amp;_xlfn.RANK.EQ(Q15,Q$4:Q$23,1),_xlfn.RANK.EQ(Q15,Q$4:Q$23,1))</f>
        <v/>
      </c>
      <c r="S15">
        <f>INDEX(Team_Summary!$A$1:$JF$21,MATCH(_xlfn.XLOOKUP($B15,Helpers!$C$4:$C$26,Helpers!$B$4:$B$26,"",0),Team_Summary!$A:$A,0),MATCH("Team_League Table_Home_L",Team_Summary!$1:$1,0))</f>
        <v/>
      </c>
      <c r="T15" s="30">
        <f>IF(COUNTIF(S$4:S$23,S15)&gt;1,"T"&amp;_xlfn.RANK.EQ(S15,S$4:S$23,1),_xlfn.RANK.EQ(S15,S$4:S$23,1))</f>
        <v/>
      </c>
      <c r="U15">
        <f>INDEX(Team_Summary!$A$1:$JF$21,MATCH(_xlfn.XLOOKUP($B15,Helpers!$C$4:$C$26,Helpers!$B$4:$B$26,"",0),Team_Summary!$A:$A,0),MATCH("Team_League Table_Away_L",Team_Summary!$1:$1,0))</f>
        <v/>
      </c>
      <c r="V15" s="30">
        <f>IF(COUNTIF(U$4:U$23,U15)&gt;1,"T"&amp;_xlfn.RANK.EQ(U15,U$4:U$23,1),_xlfn.RANK.EQ(U15,U$4:U$23,1))</f>
        <v/>
      </c>
      <c r="W15">
        <f>INDEX(Team_Summary!$A$1:$JF$21,MATCH(_xlfn.XLOOKUP($B15,Helpers!$C$4:$C$26,Helpers!$B$4:$B$26,"",0),Team_Summary!$A:$A,0),MATCH("Team_League Table_Home_Pts",Team_Summary!$1:$1,0))</f>
        <v/>
      </c>
      <c r="X15" s="30">
        <f>IF(COUNTIF(W$4:W$23,W15)&gt;1,"T"&amp;_xlfn.RANK.EQ(W15,W$4:W$23,0),_xlfn.RANK.EQ(W15,W$4:W$23,0))</f>
        <v/>
      </c>
      <c r="Y15">
        <f>INDEX(Team_Summary!$A$1:$JF$21,MATCH(_xlfn.XLOOKUP($B15,Helpers!$C$4:$C$26,Helpers!$B$4:$B$26,"",0),Team_Summary!$A:$A,0),MATCH("Team_League Table_Away_Pts",Team_Summary!$1:$1,0))</f>
        <v/>
      </c>
      <c r="Z15" s="30">
        <f>IF(COUNTIF(Y$4:Y$23,Y15)&gt;1,"T"&amp;_xlfn.RANK.EQ(Y15,Y$4:Y$23,0),_xlfn.RANK.EQ(Y15,Y$4:Y$23,0))</f>
        <v/>
      </c>
      <c r="AA15">
        <f>INDEX(Team_Summary!$A$1:$JF$21,MATCH(_xlfn.XLOOKUP($B15,Helpers!$C$4:$C$26,Helpers!$B$4:$B$26,"",0),Team_Summary!$A:$A,0),MATCH("Team_League Table_Home_Pts/MP",Team_Summary!$1:$1,0))</f>
        <v/>
      </c>
      <c r="AB15" s="30">
        <f>IF(COUNTIF(AA$4:AA$23,AA15)&gt;1,"T"&amp;_xlfn.RANK.EQ(AA15,AA$4:AA$23,0),_xlfn.RANK.EQ(AA15,AA$4:AA$23,0))</f>
        <v/>
      </c>
      <c r="AC15">
        <f>INDEX(Team_Summary!$A$1:$JF$21,MATCH(_xlfn.XLOOKUP($B15,Helpers!$C$4:$C$26,Helpers!$B$4:$B$26,"",0),Team_Summary!$A:$A,0),MATCH("Team_League Table_Away_Pts/MP",Team_Summary!$1:$1,0))</f>
        <v/>
      </c>
      <c r="AD15" s="30">
        <f>IF(COUNTIF(AC$4:AC$23,AC15)&gt;1,"T"&amp;_xlfn.RANK.EQ(AC15,AC$4:AC$23,0),_xlfn.RANK.EQ(AC15,AC$4:AC$23,0))</f>
        <v/>
      </c>
      <c r="AE15">
        <f>INDEX(Team_Summary!$A$1:$JF$21,MATCH(_xlfn.XLOOKUP($B15,Helpers!$C$4:$C$26,Helpers!$B$4:$B$26,"",0),Team_Summary!$A:$A,0),MATCH("Team_League Table_Overall_Pts/MP",Team_Summary!$1:$1,0))</f>
        <v/>
      </c>
      <c r="AF15" s="30">
        <f>IF(COUNTIF(AE$4:AE$23,AE15)&gt;1,"T"&amp;_xlfn.RANK.EQ(AE15,AE$4:AE$23,0),_xlfn.RANK.EQ(AE15,AE$4:AE$23,0))</f>
        <v/>
      </c>
      <c r="AG15">
        <f>INDEX(Team_Summary!$A$1:$JF$21,MATCH(_xlfn.XLOOKUP($B15,Helpers!$C$4:$C$26,Helpers!$B$4:$B$26,"",0),Team_Summary!$A:$A,0),MATCH("Team_League Table_Home_GF",Team_Summary!$1:$1,0))</f>
        <v/>
      </c>
      <c r="AH15" s="30">
        <f>IF(COUNTIF(AG$4:AG$23,AG15)&gt;1,"T"&amp;_xlfn.RANK.EQ(AG15,AG$4:AG$23,0),_xlfn.RANK.EQ(AG15,AG$4:AG$23,0))</f>
        <v/>
      </c>
      <c r="AI15">
        <f>INDEX(Team_Summary!$A$1:$JF$21,MATCH(_xlfn.XLOOKUP($B15,Helpers!$C$4:$C$26,Helpers!$B$4:$B$26,"",0),Team_Summary!$A:$A,0),MATCH("Team_League Table_Away_GF",Team_Summary!$1:$1,0))</f>
        <v/>
      </c>
      <c r="AJ15" s="30">
        <f>IF(COUNTIF(AI$4:AI$23,AI15)&gt;1,"T"&amp;_xlfn.RANK.EQ(AI15,AI$4:AI$23,0),_xlfn.RANK.EQ(AI15,AI$4:AI$23,0))</f>
        <v/>
      </c>
      <c r="AK15">
        <f>INDEX(Team_Summary!$A$1:$JF$21,MATCH(_xlfn.XLOOKUP($B15,Helpers!$C$4:$C$26,Helpers!$B$4:$B$26,"",0),Team_Summary!$A:$A,0),MATCH("Team_League Table_Home_GA",Team_Summary!$1:$1,0))</f>
        <v/>
      </c>
      <c r="AL15" s="30">
        <f>IF(COUNTIF(AK$4:AK$23,AK15)&gt;1,"T"&amp;_xlfn.RANK.EQ(AK15,AK$4:AK$23,1),_xlfn.RANK.EQ(AK15,AK$4:AK$23,1))</f>
        <v/>
      </c>
      <c r="AM15">
        <f>INDEX(Team_Summary!$A$1:$JF$21,MATCH(_xlfn.XLOOKUP($B15,Helpers!$C$4:$C$26,Helpers!$B$4:$B$26,"",0),Team_Summary!$A:$A,0),MATCH("Team_League Table_Away_GA",Team_Summary!$1:$1,0))</f>
        <v/>
      </c>
      <c r="AN15" s="30">
        <f>IF(COUNTIF(AM$4:AM$23,AM15)&gt;1,"T"&amp;_xlfn.RANK.EQ(AM15,AM$4:AM$23,1),_xlfn.RANK.EQ(AM15,AM$4:AM$23,1))</f>
        <v/>
      </c>
      <c r="AO15">
        <f>INDEX(Team_Summary!$A$1:$JF$21,MATCH(_xlfn.XLOOKUP($B15,Helpers!$C$4:$C$26,Helpers!$B$4:$B$26,"",0),Team_Summary!$A:$A,0),MATCH("Team_League Table_Home_GD",Team_Summary!$1:$1,0))</f>
        <v/>
      </c>
      <c r="AP15" s="30">
        <f>IF(COUNTIF(AO$4:AO$23,AO15)&gt;1,"T"&amp;_xlfn.RANK.EQ(AO15,AO$4:AO$23,0),_xlfn.RANK.EQ(AO15,AO$4:AO$23,0))</f>
        <v/>
      </c>
      <c r="AQ15">
        <f>INDEX(Team_Summary!$A$1:$JF$21,MATCH(_xlfn.XLOOKUP($B15,Helpers!$C$4:$C$26,Helpers!$B$4:$B$26,"",0),Team_Summary!$A:$A,0),MATCH("Team_League Table_Away_GD",Team_Summary!$1:$1,0))</f>
        <v/>
      </c>
      <c r="AR15" s="30">
        <f>IF(COUNTIF(AQ$4:AQ$23,AQ15)&gt;1,"T"&amp;_xlfn.RANK.EQ(AQ15,AQ$4:AQ$23,0),_xlfn.RANK.EQ(AQ15,AQ$4:AQ$23,0))</f>
        <v/>
      </c>
      <c r="AS15">
        <f>INDEX(Team_Summary!$A$1:$JF$21,MATCH(_xlfn.XLOOKUP($B15,Helpers!$C$4:$C$26,Helpers!$B$4:$B$26,"",0),Team_Summary!$A:$A,0),MATCH("Team_Standard_Stats_Gls",Team_Summary!$1:$1,0))</f>
        <v/>
      </c>
      <c r="AT15" s="30">
        <f>IF(COUNTIF(AS$4:AS$23,AS15)&gt;1,"T"&amp;_xlfn.RANK.EQ(AS15,AS$4:AS$23,0),_xlfn.RANK.EQ(AS15,AS$4:AS$23,0))</f>
        <v/>
      </c>
      <c r="AU15" s="27">
        <f>C15/INDEX(Team_Summary!$A$1:$JF$21,MATCH(_xlfn.XLOOKUP($B15,Helpers!$C$4:$C$26,Helpers!$B$4:$B$26,"",0),Team_Summary!$A:$A,0),MATCH("Team_League Table_Overall_MP",Team_Summary!$1:$1,0))</f>
        <v/>
      </c>
      <c r="AV15" s="30">
        <f>IF(COUNTIF(AU$4:AU$23,AU15)&gt;1,"T"&amp;_xlfn.RANK.EQ(AU15,AU$4:AU$23,0),_xlfn.RANK.EQ(AU15,AU$4:AU$23,0))</f>
        <v/>
      </c>
      <c r="AW15">
        <f>INDEX(Team_Summary!$A$1:$JF$21,MATCH(_xlfn.XLOOKUP($B15,Helpers!$C$4:$C$26,Helpers!$B$4:$B$26,"",0),Team_Summary!$A:$A,0),MATCH("Team_Standard_Stats_G-PK",Team_Summary!$1:$1,0))</f>
        <v/>
      </c>
      <c r="AX15" s="30">
        <f>IF(COUNTIF(AW$4:AW$23,AW15)&gt;1,"T"&amp;_xlfn.RANK.EQ(AW15,AW$4:AW$23,0),_xlfn.RANK.EQ(AW15,AW$4:AW$23,0))</f>
        <v/>
      </c>
      <c r="AY15">
        <f>INDEX(Team_Summary!$A$1:$JF$21,MATCH(_xlfn.XLOOKUP($B15,Helpers!$C$4:$C$26,Helpers!$B$4:$B$26,"",0),Team_Summary!$A:$A,0),MATCH("Team_Standard_Stats_PK",Team_Summary!$1:$1,0))</f>
        <v/>
      </c>
      <c r="AZ15" s="30">
        <f>IF(COUNTIF(AY$4:AY$23,AY15)&gt;1,"T"&amp;_xlfn.RANK.EQ(AY15,AY$4:AY$23,0),_xlfn.RANK.EQ(AY15,AY$4:AY$23,0))</f>
        <v/>
      </c>
      <c r="BA15">
        <f>INDEX(Team_Summary!$A$1:$JF$21,MATCH(_xlfn.XLOOKUP($B15,Helpers!$C$4:$C$26,Helpers!$B$4:$B$26,"",0),Team_Summary!$A:$A,0),MATCH("Team_Standard_Stats_Ast.1",Team_Summary!$1:$1,0))</f>
        <v/>
      </c>
      <c r="BB15" s="30">
        <f>IF(COUNTIF(BA$4:BA$23,BA15)&gt;1,"T"&amp;_xlfn.RANK.EQ(BA15,BA$4:BA$23,0),_xlfn.RANK.EQ(BA15,BA$4:BA$23,0))</f>
        <v/>
      </c>
      <c r="BC15">
        <f>INDEX(Team_Summary!$A$1:$JF$21,MATCH(_xlfn.XLOOKUP($B15,Helpers!$C$4:$C$26,Helpers!$B$4:$B$26,"",0),Team_Summary!$A:$A,0),MATCH("Team_Standard_Stats_Ast",Team_Summary!$1:$1,0))</f>
        <v/>
      </c>
      <c r="BD15" s="30">
        <f>IF(COUNTIF(BC$4:BC$23,BC15)&gt;1,"T"&amp;_xlfn.RANK.EQ(BC15,BC$4:BC$23,0),_xlfn.RANK.EQ(BC15,BC$4:BC$23,0))</f>
        <v/>
      </c>
      <c r="BE15">
        <f>INDEX(Team_Summary!$A$1:$JF$21,MATCH(_xlfn.XLOOKUP($B15,Helpers!$C$4:$C$26,Helpers!$B$4:$B$26,"",0),Team_Summary!$A:$A,0),MATCH("Team_Miscellaneous_Stats_CrdY",Team_Summary!$1:$1,0))</f>
        <v/>
      </c>
      <c r="BF15" s="30">
        <f>IF(COUNTIF(BE$4:BE$23,BE15)&gt;1,"T"&amp;_xlfn.RANK.EQ(BE15,BE$4:BE$23,1),_xlfn.RANK.EQ(BE15,BE$4:BE$23,1))</f>
        <v/>
      </c>
      <c r="BG15" s="35">
        <f>BE15/INDEX(Team_Summary!$A$1:$JF$21,MATCH(_xlfn.XLOOKUP($B15,Helpers!$C$4:$C$26,Helpers!$B$4:$B$26,"",0),Team_Summary!$A:$A,0),MATCH("Team_League Table_Overall_MP",Team_Summary!$1:$1,0))</f>
        <v/>
      </c>
      <c r="BH15" s="30">
        <f>IF(COUNTIF(BG$4:BG$23,BG15)&gt;1,"T"&amp;_xlfn.RANK.EQ(BG15,BG$4:BG$23,1),_xlfn.RANK.EQ(BG15,BG$4:BG$23,1))</f>
        <v/>
      </c>
      <c r="BI15">
        <f>INDEX(Team_Summary!$A$1:$JF$21,MATCH(_xlfn.XLOOKUP($B15,Helpers!$C$4:$C$26,Helpers!$B$4:$B$26,"",0),Team_Summary!$A:$A,0),MATCH("Team_Miscellaneous_Stats_CrdR",Team_Summary!$1:$1,0))/INDEX(Team_Summary!$A$1:$JF$21,MATCH(_xlfn.XLOOKUP($B15,Helpers!$C$4:$C$26,Helpers!$B$4:$B$26,"",0),Team_Summary!$A:$A,0),MATCH("Team_League Table_Overall_MP",Team_Summary!$1:$1,0))</f>
        <v/>
      </c>
      <c r="BJ15" s="30">
        <f>IF(COUNTIF(BI$4:BI$23,BI15)&gt;1,"T"&amp;_xlfn.RANK.EQ(BI15,BI$4:BI$23,1),_xlfn.RANK.EQ(BI15,BI$4:BI$23,1))</f>
        <v/>
      </c>
      <c r="BK15">
        <f>INDEX(Team_Summary!$A$1:$JF$21,MATCH(_xlfn.XLOOKUP($B15,Helpers!$C$4:$C$26,Helpers!$B$4:$B$26,"",0),Team_Summary!$A:$A,0),MATCH("Team_Goalkeeping_SoTA",Team_Summary!$1:$1,0))/INDEX(Team_Summary!$A$1:$JF$21,MATCH(_xlfn.XLOOKUP($B15,Helpers!$C$4:$C$26,Helpers!$B$4:$B$26,"",0),Team_Summary!$A:$A,0),MATCH("Team_League Table_Overall_MP",Team_Summary!$1:$1,0))</f>
        <v/>
      </c>
      <c r="BL15" s="30">
        <f>IF(COUNTIF(BK$4:BK$23,BK15)&gt;1,"T"&amp;_xlfn.RANK.EQ(BK15,BK$4:BK$23,1),_xlfn.RANK.EQ(BK15,BK$4:BK$23,1))</f>
        <v/>
      </c>
      <c r="BM15">
        <f>INDEX(Team_Summary!$A$1:$JF$21,MATCH(_xlfn.XLOOKUP($B15,Helpers!$C$4:$C$26,Helpers!$B$4:$B$26,"",0),Team_Summary!$A:$A,0),MATCH("Team_Goalkeeping_Save%",Team_Summary!$1:$1,0))</f>
        <v/>
      </c>
      <c r="BN15" s="30">
        <f>IF(COUNTIF(BM$4:BM$23,BM15)&gt;1,"T"&amp;_xlfn.RANK.EQ(BM15,BM$4:BM$23,0),_xlfn.RANK.EQ(BM15,BM$4:BM$23,0))</f>
        <v/>
      </c>
      <c r="BO15">
        <f>INDEX(Team_Summary!$A$1:$JF$21,MATCH(_xlfn.XLOOKUP($B15,Helpers!$C$4:$C$26,Helpers!$B$4:$B$26,"",0),Team_Summary!$A:$A,0),MATCH("Team_Goalkeeping_CS%",Team_Summary!$1:$1,0))</f>
        <v/>
      </c>
      <c r="BP15" s="30">
        <f>IF(COUNTIF(BO$4:BO$23,BO15)&gt;1,"T"&amp;_xlfn.RANK.EQ(BO15,BO$4:BO$23,0),_xlfn.RANK.EQ(BO15,BO$4:BO$23,0))</f>
        <v/>
      </c>
      <c r="BQ15">
        <f>INDEX(Team_Summary!$A$1:$JF$21,MATCH(_xlfn.XLOOKUP($B15,Helpers!$C$4:$C$26,Helpers!$B$4:$B$26,"",0),Team_Summary!$A:$A,0),MATCH("Team_Goalkeeping_Save%.1",Team_Summary!$1:$1,0))</f>
        <v/>
      </c>
      <c r="BR15" s="30">
        <f>IF(COUNTIF(BQ$4:BQ$23,BQ15)&gt;1,"T"&amp;_xlfn.RANK.EQ(BQ15,BQ$4:BQ$23,0),_xlfn.RANK.EQ(BQ15,BQ$4:BQ$23,0))</f>
        <v/>
      </c>
      <c r="BS15">
        <f>INDEX(Team_Summary!$A$1:$JF$21,MATCH(_xlfn.XLOOKUP($B15,Helpers!$C$4:$C$26,Helpers!$B$4:$B$26,"",0),Team_Summary!$A:$A,0),MATCH("Team_Advanced_Goalkeeping_FK",Team_Summary!$1:$1,0))</f>
        <v/>
      </c>
      <c r="BT15" s="30">
        <f>IF(COUNTIF(BS$4:BS$23,BS15)&gt;1,"T"&amp;_xlfn.RANK.EQ(BS15,BS$4:BS$23,1),_xlfn.RANK.EQ(BS15,BS$4:BS$23,1))</f>
        <v/>
      </c>
      <c r="BU15">
        <f>INDEX(Team_Summary!$A$1:$JF$21,MATCH(_xlfn.XLOOKUP($B15,Helpers!$C$4:$C$26,Helpers!$B$4:$B$26,"",0),Team_Summary!$A:$A,0),MATCH("Team_Advanced_Goalkeeping_CK",Team_Summary!$1:$1,0))</f>
        <v/>
      </c>
      <c r="BV15" s="30">
        <f>IF(COUNTIF(BU$4:BU$23,BU15)&gt;1,"T"&amp;_xlfn.RANK.EQ(BU15,BU$4:BU$23,1),_xlfn.RANK.EQ(BU15,BU$4:BU$23,1))</f>
        <v/>
      </c>
      <c r="BW15">
        <f>INDEX(Team_Summary!$A$1:$JF$21,MATCH(_xlfn.XLOOKUP($B15,Helpers!$C$4:$C$26,Helpers!$B$4:$B$26,"",0),Team_Summary!$A:$A,0),MATCH("Team_Advanced_Goalkeeping_Stp%",Team_Summary!$1:$1,0))</f>
        <v/>
      </c>
      <c r="BX15" s="30">
        <f>IF(COUNTIF(BW$4:BW$23,BW15)&gt;1,"T"&amp;_xlfn.RANK.EQ(BW15,BW$4:BW$23,0),_xlfn.RANK.EQ(BW15,BW$4:BW$23,0))</f>
        <v/>
      </c>
      <c r="BY15">
        <f>INDEX(Team_Summary!$A$1:$JF$21,MATCH(_xlfn.XLOOKUP($B15,Helpers!$C$4:$C$26,Helpers!$B$4:$B$26,"",0),Team_Summary!$A:$A,0),MATCH("Team_Shooting_G/SoT",Team_Summary!$1:$1,0))</f>
        <v/>
      </c>
      <c r="BZ15" s="30">
        <f>IF(COUNTIF(BY$4:BY$23,BY15)&gt;1,"T"&amp;_xlfn.RANK.EQ(BY15,BY$4:BY$23,0),_xlfn.RANK.EQ(BY15,BY$4:BY$23,0))</f>
        <v/>
      </c>
      <c r="CA15">
        <f>INDEX(Team_Summary!$A$1:$JF$21,MATCH(_xlfn.XLOOKUP($B15,Helpers!$C$4:$C$26,Helpers!$B$4:$B$26,"",0),Team_Summary!$A:$A,0),MATCH("Team_Shooting_G/Sh",Team_Summary!$1:$1,0))</f>
        <v/>
      </c>
      <c r="CB15" s="30">
        <f>IF(COUNTIF(CA$4:CA$23,CA15)&gt;1,"T"&amp;_xlfn.RANK.EQ(CA15,CA$4:CA$23,0),_xlfn.RANK.EQ(CA15,CA$4:CA$23,0))</f>
        <v/>
      </c>
      <c r="CC15">
        <f>INDEX(Team_Summary!$A$1:$JF$21,MATCH(_xlfn.XLOOKUP($B15,Helpers!$C$4:$C$26,Helpers!$B$4:$B$26,"",0),Team_Summary!$A:$A,0),MATCH("Team_Shooting_SoT",Team_Summary!$1:$1,0))/INDEX(Team_Summary!$A$1:$JF$21,MATCH(_xlfn.XLOOKUP($B15,Helpers!$C$4:$C$26,Helpers!$B$4:$B$26,"",0),Team_Summary!$A:$A,0),MATCH("Team_League Table_Overall_MP",Team_Summary!$1:$1,0))</f>
        <v/>
      </c>
      <c r="CD15" s="30">
        <f>IF(COUNTIF(CC$4:CC$23,CC15)&gt;1,"T"&amp;_xlfn.RANK.EQ(CC15,CC$4:CC$23,0),_xlfn.RANK.EQ(CC15,CC$4:CC$23,0))</f>
        <v/>
      </c>
      <c r="CE15">
        <f>INDEX(Team_Summary!$A$1:$JF$21,MATCH(_xlfn.XLOOKUP($B15,Helpers!$C$4:$C$26,Helpers!$B$4:$B$26,"",0),Team_Summary!$A:$A,0),MATCH("Team_Shooting_SoT%",Team_Summary!$1:$1,0))</f>
        <v/>
      </c>
      <c r="CF15" s="30">
        <f>IF(COUNTIF(CE$4:CE$23,CE15)&gt;1,"T"&amp;_xlfn.RANK.EQ(CE15,CE$4:CE$23,0),_xlfn.RANK.EQ(CE15,CE$4:CE$23,0))</f>
        <v/>
      </c>
      <c r="CG15">
        <f>INDEX(Team_Summary!$A$1:$JF$21,MATCH(_xlfn.XLOOKUP($B15,Helpers!$C$4:$C$26,Helpers!$B$4:$B$26,"",0),Team_Summary!$A:$A,0),MATCH("Team_Pass_Types_CK",Team_Summary!$1:$1,0))/INDEX(Team_Summary!$A$1:$JF$21,MATCH(_xlfn.XLOOKUP($B15,Helpers!$C$4:$C$26,Helpers!$B$4:$B$26,"",0),Team_Summary!$A:$A,0),MATCH("Team_League Table_Overall_MP",Team_Summary!$1:$1,0))</f>
        <v/>
      </c>
      <c r="CH15" s="30">
        <f>IF(COUNTIF(CG$4:CG$23,CG15)&gt;1,"T"&amp;_xlfn.RANK.EQ(CG15,CG$4:CG$23,0),_xlfn.RANK.EQ(CG15,CG$4:CG$23,0))</f>
        <v/>
      </c>
      <c r="CI15">
        <f>INDEX(Team_Summary!$A$1:$JF$21,MATCH(_xlfn.XLOOKUP($B15,Helpers!$C$4:$C$26,Helpers!$B$4:$B$26,"",0),Team_Summary!$A:$A,0),MATCH("Team_Miscellaneous_Stats_TklW",Team_Summary!$1:$1,0))/INDEX(Team_Summary!$A$1:$JF$21,MATCH(_xlfn.XLOOKUP($B15,Helpers!$C$4:$C$26,Helpers!$B$4:$B$26,"",0),Team_Summary!$A:$A,0),MATCH("Team_League Table_Overall_MP",Team_Summary!$1:$1,0))</f>
        <v/>
      </c>
      <c r="CJ15" s="30">
        <f>IF(COUNTIF(CI$4:CI$23,CI15)&gt;1,"T"&amp;_xlfn.RANK.EQ(CI15,CI$4:CI$23,0),_xlfn.RANK.EQ(CI15,CI$4:CI$23,0))</f>
        <v/>
      </c>
      <c r="CK15">
        <f>INDEX(Team_Summary!$A$1:$JF$21,MATCH(_xlfn.XLOOKUP($B15,Helpers!$C$4:$C$26,Helpers!$B$4:$B$26,"",0),Team_Summary!$A:$A,0),MATCH("Team_Defensive_Actions_Sh",Team_Summary!$1:$1,0))/INDEX(Team_Summary!$A$1:$JF$21,MATCH(_xlfn.XLOOKUP($B15,Helpers!$C$4:$C$26,Helpers!$B$4:$B$26,"",0),Team_Summary!$A:$A,0),MATCH("Team_League Table_Overall_MP",Team_Summary!$1:$1,0))</f>
        <v/>
      </c>
      <c r="CL15" s="30">
        <f>IF(COUNTIF(CK$4:CK$23,CK15)&gt;1,"T"&amp;_xlfn.RANK.EQ(CK15,CK$4:CK$23,0),_xlfn.RANK.EQ(CK15,CK$4:CK$23,0))</f>
        <v/>
      </c>
      <c r="CM15">
        <f>INDEX(Team_Summary!$A$1:$JF$21,MATCH(_xlfn.XLOOKUP($B15,Helpers!$C$4:$C$26,Helpers!$B$4:$B$26,"",0),Team_Summary!$A:$A,0),MATCH("Team_Defensive_Actions_Int",Team_Summary!$1:$1,0))/INDEX(Team_Summary!$A$1:$JF$21,MATCH(_xlfn.XLOOKUP($B15,Helpers!$C$4:$C$26,Helpers!$B$4:$B$26,"",0),Team_Summary!$A:$A,0),MATCH("Team_League Table_Overall_MP",Team_Summary!$1:$1,0))</f>
        <v/>
      </c>
      <c r="CN15" s="30">
        <f>IF(COUNTIF(CM$4:CM$23,CM15)&gt;1,"T"&amp;_xlfn.RANK.EQ(CM15,CM$4:CM$23,0),_xlfn.RANK.EQ(CM15,CM$4:CM$23,0))</f>
        <v/>
      </c>
      <c r="CO15">
        <f>INDEX(Team_Summary!$A$1:$JF$21,MATCH(_xlfn.XLOOKUP($B15,Helpers!$C$4:$C$26,Helpers!$B$4:$B$26,"",0),Team_Summary!$A:$A,0),MATCH("Team_Possession_Poss",Team_Summary!$1:$1,0))</f>
        <v/>
      </c>
      <c r="CP15" s="30">
        <f>IF(COUNTIF(CO$4:CO$23,CO15)&gt;1,"T"&amp;_xlfn.RANK.EQ(CO15,CO$4:CO$23,0),_xlfn.RANK.EQ(CO15,CO$4:CO$23,0))</f>
        <v/>
      </c>
      <c r="CQ15">
        <f>INDEX(Team_Summary!$A$1:$JF$21,MATCH(_xlfn.XLOOKUP($B15,Helpers!$C$4:$C$26,Helpers!$B$4:$B$26,"",0),Team_Summary!$A:$A,0),MATCH("Team_Possession_Def Pen",Team_Summary!$1:$1,0))/INDEX(Team_Summary!$A$1:$JF$21,MATCH(_xlfn.XLOOKUP($B15,Helpers!$C$4:$C$26,Helpers!$B$4:$B$26,"",0),Team_Summary!$A:$A,0),MATCH("Team_League Table_Overall_MP",Team_Summary!$1:$1,0))</f>
        <v/>
      </c>
      <c r="CR15" s="30">
        <f>IF(COUNTIF(CQ$4:CQ$23,CQ15)&gt;1,"T"&amp;_xlfn.RANK.EQ(CQ15,CQ$4:CQ$23,0),_xlfn.RANK.EQ(CQ15,CQ$4:CQ$23,0))</f>
        <v/>
      </c>
      <c r="CS15">
        <f>INDEX(Team_Summary!$A$1:$JF$21,MATCH(_xlfn.XLOOKUP($B15,Helpers!$C$4:$C$26,Helpers!$B$4:$B$26,"",0),Team_Summary!$A:$A,0),MATCH("Team_Possession_Def 3rd",Team_Summary!$1:$1,0))/INDEX(Team_Summary!$A$1:$JF$21,MATCH(_xlfn.XLOOKUP($B15,Helpers!$C$4:$C$26,Helpers!$B$4:$B$26,"",0),Team_Summary!$A:$A,0),MATCH("Team_League Table_Overall_MP",Team_Summary!$1:$1,0))</f>
        <v/>
      </c>
      <c r="CT15" s="30">
        <f>IF(COUNTIF(CS$4:CS$23,CS15)&gt;1,"T"&amp;_xlfn.RANK.EQ(CS15,CS$4:CS$23,0),_xlfn.RANK.EQ(CS15,CS$4:CS$23,0))</f>
        <v/>
      </c>
      <c r="CU15">
        <f>INDEX(Team_Summary!$A$1:$JF$21,MATCH(_xlfn.XLOOKUP($B15,Helpers!$C$4:$C$26,Helpers!$B$4:$B$26,"",0),Team_Summary!$A:$A,0),MATCH("Team_Possession_Mid 3rd",Team_Summary!$1:$1,0))/INDEX(Team_Summary!$A$1:$JF$21,MATCH(_xlfn.XLOOKUP($B15,Helpers!$C$4:$C$26,Helpers!$B$4:$B$26,"",0),Team_Summary!$A:$A,0),MATCH("Team_League Table_Overall_MP",Team_Summary!$1:$1,0))</f>
        <v/>
      </c>
      <c r="CV15" s="30">
        <f>IF(COUNTIF(CU$4:CU$23,CU15)&gt;1,"T"&amp;_xlfn.RANK.EQ(CU15,CU$4:CU$23,0),_xlfn.RANK.EQ(CU15,CU$4:CU$23,0))</f>
        <v/>
      </c>
      <c r="CW15">
        <f>INDEX(Team_Summary!$A$1:$JF$21,MATCH(_xlfn.XLOOKUP($B15,Helpers!$C$4:$C$26,Helpers!$B$4:$B$26,"",0),Team_Summary!$A:$A,0),MATCH("Team_Possession_Att 3rd",Team_Summary!$1:$1,0))/INDEX(Team_Summary!$A$1:$JF$21,MATCH(_xlfn.XLOOKUP($B15,Helpers!$C$4:$C$26,Helpers!$B$4:$B$26,"",0),Team_Summary!$A:$A,0),MATCH("Team_League Table_Overall_MP",Team_Summary!$1:$1,0))</f>
        <v/>
      </c>
      <c r="CX15" s="30">
        <f>IF(COUNTIF(CW$4:CW$23,CW15)&gt;1,"T"&amp;_xlfn.RANK.EQ(CW15,CW$4:CW$23,0),_xlfn.RANK.EQ(CW15,CW$4:CW$23,0))</f>
        <v/>
      </c>
      <c r="CY15">
        <f>INDEX(Team_Summary!$A$1:$JF$21,MATCH(_xlfn.XLOOKUP($B15,Helpers!$C$4:$C$26,Helpers!$B$4:$B$26,"",0),Team_Summary!$A:$A,0),MATCH("Team_Possession_Att Pen",Team_Summary!$1:$1,0))/INDEX(Team_Summary!$A$1:$JF$21,MATCH(_xlfn.XLOOKUP($B15,Helpers!$C$4:$C$26,Helpers!$B$4:$B$26,"",0),Team_Summary!$A:$A,0),MATCH("Team_League Table_Overall_MP",Team_Summary!$1:$1,0))</f>
        <v/>
      </c>
      <c r="CZ15" s="30">
        <f>IF(COUNTIF(CY$4:CY$23,CY15)&gt;1,"T"&amp;_xlfn.RANK.EQ(CY15,CY$4:CY$23,0),_xlfn.RANK.EQ(CY15,CY$4:CY$23,0))</f>
        <v/>
      </c>
      <c r="DA15">
        <f>INDEX(Team_Summary!$A$1:$JF$21,MATCH(_xlfn.XLOOKUP($B15,Helpers!$C$4:$C$26,Helpers!$B$4:$B$26,"",0),Team_Summary!$A:$A,0),MATCH("Team_Miscellaneous_Stats_Fls",Team_Summary!$1:$1,0))/INDEX(Team_Summary!$A$1:$JF$21,MATCH(_xlfn.XLOOKUP($B15,Helpers!$C$4:$C$26,Helpers!$B$4:$B$26,"",0),Team_Summary!$A:$A,0),MATCH("Team_League Table_Overall_MP",Team_Summary!$1:$1,0))</f>
        <v/>
      </c>
      <c r="DB15" s="30">
        <f>IF(COUNTIF(DA$4:DA$23,DA15)&gt;1,"T"&amp;_xlfn.RANK.EQ(DA15,DA$4:DA$23,1),_xlfn.RANK.EQ(DA15,DA$4:DA$23,1))</f>
        <v/>
      </c>
      <c r="DC15">
        <f>INDEX(Team_Summary!$A$1:$JF$21,MATCH(_xlfn.XLOOKUP($B15,Helpers!$C$4:$C$26,Helpers!$B$4:$B$26,"",0),Team_Summary!$A:$A,0),MATCH("Team_Miscellaneous_Stats_Fld",Team_Summary!$1:$1,0))/INDEX(Team_Summary!$A$1:$JF$21,MATCH(_xlfn.XLOOKUP($B15,Helpers!$C$4:$C$26,Helpers!$B$4:$B$26,"",0),Team_Summary!$A:$A,0),MATCH("Team_League Table_Overall_MP",Team_Summary!$1:$1,0))</f>
        <v/>
      </c>
      <c r="DD15" s="30">
        <f>IF(COUNTIF(DC$4:DC$23,DC15)&gt;1,"T"&amp;_xlfn.RANK.EQ(DC15,DC$4:DC$23,0),_xlfn.RANK.EQ(DC15,DC$4:DC$23,0))</f>
        <v/>
      </c>
      <c r="DE15">
        <f>INDEX(Team_Summary!$A$1:$JF$21,MATCH(_xlfn.XLOOKUP($B15,Helpers!$C$4:$C$26,Helpers!$B$4:$B$26,"",0),Team_Summary!$A:$A,0),MATCH("Team_Miscellaneous_Stats_Won",Team_Summary!$1:$1,0))/INDEX(Team_Summary!$A$1:$JF$21,MATCH(_xlfn.XLOOKUP($B15,Helpers!$C$4:$C$26,Helpers!$B$4:$B$26,"",0),Team_Summary!$A:$A,0),MATCH("Team_League Table_Overall_MP",Team_Summary!$1:$1,0))</f>
        <v/>
      </c>
      <c r="DF15" s="30">
        <f>IF(COUNTIF(DE$4:DE$23,DE15)&gt;1,"T"&amp;_xlfn.RANK.EQ(DE15,DE$4:DE$23,0),_xlfn.RANK.EQ(DE15,DE$4:DE$23,0))</f>
        <v/>
      </c>
      <c r="DG15">
        <f>INDEX(Team_Summary!$A$1:$JF$21,MATCH(_xlfn.XLOOKUP($B15,Helpers!$C$4:$C$26,Helpers!$B$4:$B$26,"",0),Team_Summary!$A:$A,0),MATCH("Team_Miscellaneous_Stats_Pkwon",Team_Summary!$1:$1,0))</f>
        <v/>
      </c>
      <c r="DH15" s="30">
        <f>IF(COUNTIF(DG$4:DG$23,DG15)&gt;1,"T"&amp;_xlfn.RANK.EQ(DG15,DG$4:DG$23,0),_xlfn.RANK.EQ(DG15,DG$4:DG$23,0))</f>
        <v/>
      </c>
      <c r="DI15">
        <f>INDEX(Team_Summary!$A$1:$JF$21,MATCH(_xlfn.XLOOKUP($B15,Helpers!$C$4:$C$26,Helpers!$B$4:$B$26,"",0),Team_Summary!$A:$A,0),MATCH("Team_Miscellaneous_Stats_Pkcon",Team_Summary!$1:$1,0))</f>
        <v/>
      </c>
      <c r="DJ15" s="30">
        <f>IF(COUNTIF(DI$4:DI$23,DI15)&gt;1,"T"&amp;_xlfn.RANK.EQ(DI15,DI$4:DI$23,1),_xlfn.RANK.EQ(DI15,DI$4:DI$23,1))</f>
        <v/>
      </c>
      <c r="DK15">
        <f>INDEX(Team_Summary!$A$1:$JF$21,MATCH(_xlfn.XLOOKUP($B15,Helpers!$C$4:$C$26,Helpers!$B$4:$B$26,"",0),Team_Summary!$A:$A,0),MATCH("Team_Playing_Time_Age",Team_Summary!$1:$1,0))</f>
        <v/>
      </c>
      <c r="DL15" s="30">
        <f>IF(COUNTIF(DK$4:DK$23,DK15)&gt;1,"T"&amp;_xlfn.RANK.EQ(DK15,DK$4:DK$23,1),_xlfn.RANK.EQ(DK15,DK$4:DK$23,1))</f>
        <v/>
      </c>
    </row>
    <row r="16">
      <c r="B16" t="inlineStr">
        <is>
          <t>MCI</t>
        </is>
      </c>
      <c r="C16">
        <f>INDEX(Team_Summary!$A$1:$JF$21,MATCH(_xlfn.XLOOKUP($B16,Helpers!$C$4:$C$26,Helpers!$B$4:$B$26,"",0),Team_Summary!$A:$A,0),MATCH("Team_League Table_Overall_GF",Team_Summary!$1:$1,0))</f>
        <v/>
      </c>
      <c r="D16" s="30">
        <f>IF(COUNTIF(C$4:C$23,C16)&gt;1,"T"&amp;_xlfn.RANK.EQ(C16,C$4:C$23,0),_xlfn.RANK.EQ(C16,C$4:C$23,0))</f>
        <v/>
      </c>
      <c r="E16">
        <f>INDEX(Team_Summary!$A$1:$JF$21,MATCH(_xlfn.XLOOKUP($B16,Helpers!$C$4:$C$26,Helpers!$B$4:$B$26,"",0),Team_Summary!$A:$A,0),MATCH("Team_League Table_Overall_GA",Team_Summary!$1:$1,0))</f>
        <v/>
      </c>
      <c r="F16" s="30">
        <f>IF(COUNTIF(E$4:E$23,E16)&gt;1,"T"&amp;_xlfn.RANK.EQ(E16,E$4:E$23,1),_xlfn.RANK.EQ(E16,E$4:E$23,1))</f>
        <v/>
      </c>
      <c r="G16">
        <f>INDEX(Team_Summary!$A$1:$JF$21,MATCH(_xlfn.XLOOKUP($B16,Helpers!$C$4:$C$26,Helpers!$B$4:$B$26,"",0),Team_Summary!$A:$A,0),MATCH("Team_League Table_Overall_GD",Team_Summary!$1:$1,0))</f>
        <v/>
      </c>
      <c r="H16" s="30">
        <f>IF(COUNTIF(G$4:G$23,G16)&gt;1,"T"&amp;_xlfn.RANK.EQ(G16,G$4:G$23,0),_xlfn.RANK.EQ(G16,G$4:G$23,0))</f>
        <v/>
      </c>
      <c r="I16" s="27">
        <f>G16/INDEX(Team_Summary!$A$1:$JF$21,MATCH(_xlfn.XLOOKUP($B16,Helpers!$C$4:$C$26,Helpers!$B$4:$B$26,"",0),Team_Summary!$A:$A,0),MATCH("Team_League Table_Overall_MP",Team_Summary!$1:$1,0))</f>
        <v/>
      </c>
      <c r="J16" s="30">
        <f>IF(COUNTIF(I$4:I$23,I16)&gt;1,"T"&amp;_xlfn.RANK.EQ(I16,I$4:I$23,0),_xlfn.RANK.EQ(I16,I$4:I$23,0))</f>
        <v/>
      </c>
      <c r="K16">
        <f>INDEX(Team_Summary!$A$1:$JF$21,MATCH(_xlfn.XLOOKUP($B16,Helpers!$C$4:$C$26,Helpers!$B$4:$B$26,"",0),Team_Summary!$A:$A,0),MATCH("Team_League Table_Home_W",Team_Summary!$1:$1,0))</f>
        <v/>
      </c>
      <c r="L16" s="30">
        <f>IF(COUNTIF(K$4:K$23,K16)&gt;1,"T"&amp;_xlfn.RANK.EQ(K16,K$4:K$23,0),_xlfn.RANK.EQ(K16,K$4:K$23,0))</f>
        <v/>
      </c>
      <c r="M16">
        <f>INDEX(Team_Summary!$A$1:$JF$21,MATCH(_xlfn.XLOOKUP($B16,Helpers!$C$4:$C$26,Helpers!$B$4:$B$26,"",0),Team_Summary!$A:$A,0),MATCH("Team_League Table_Away_W",Team_Summary!$1:$1,0))</f>
        <v/>
      </c>
      <c r="N16" s="30">
        <f>IF(COUNTIF(M$4:M$23,M16)&gt;1,"T"&amp;_xlfn.RANK.EQ(M16,M$4:M$23,0),_xlfn.RANK.EQ(M16,M$4:M$23,0))</f>
        <v/>
      </c>
      <c r="O16">
        <f>INDEX(Team_Summary!$A$1:$JF$21,MATCH(_xlfn.XLOOKUP($B16,Helpers!$C$4:$C$26,Helpers!$B$4:$B$26,"",0),Team_Summary!$A:$A,0),MATCH("Team_League Table_Home_D",Team_Summary!$1:$1,0))</f>
        <v/>
      </c>
      <c r="P16" s="30">
        <f>IF(COUNTIF(O$4:O$23,O16)&gt;1,"T"&amp;_xlfn.RANK.EQ(O16,O$4:O$23,1),_xlfn.RANK.EQ(O16,O$4:O$23,1))</f>
        <v/>
      </c>
      <c r="Q16">
        <f>INDEX(Team_Summary!$A$1:$JF$21,MATCH(_xlfn.XLOOKUP($B16,Helpers!$C$4:$C$26,Helpers!$B$4:$B$26,"",0),Team_Summary!$A:$A,0),MATCH("Team_League Table_Away_D",Team_Summary!$1:$1,0))</f>
        <v/>
      </c>
      <c r="R16" s="30">
        <f>IF(COUNTIF(Q$4:Q$23,Q16)&gt;1,"T"&amp;_xlfn.RANK.EQ(Q16,Q$4:Q$23,1),_xlfn.RANK.EQ(Q16,Q$4:Q$23,1))</f>
        <v/>
      </c>
      <c r="S16">
        <f>INDEX(Team_Summary!$A$1:$JF$21,MATCH(_xlfn.XLOOKUP($B16,Helpers!$C$4:$C$26,Helpers!$B$4:$B$26,"",0),Team_Summary!$A:$A,0),MATCH("Team_League Table_Home_L",Team_Summary!$1:$1,0))</f>
        <v/>
      </c>
      <c r="T16" s="30">
        <f>IF(COUNTIF(S$4:S$23,S16)&gt;1,"T"&amp;_xlfn.RANK.EQ(S16,S$4:S$23,1),_xlfn.RANK.EQ(S16,S$4:S$23,1))</f>
        <v/>
      </c>
      <c r="U16">
        <f>INDEX(Team_Summary!$A$1:$JF$21,MATCH(_xlfn.XLOOKUP($B16,Helpers!$C$4:$C$26,Helpers!$B$4:$B$26,"",0),Team_Summary!$A:$A,0),MATCH("Team_League Table_Away_L",Team_Summary!$1:$1,0))</f>
        <v/>
      </c>
      <c r="V16" s="30">
        <f>IF(COUNTIF(U$4:U$23,U16)&gt;1,"T"&amp;_xlfn.RANK.EQ(U16,U$4:U$23,1),_xlfn.RANK.EQ(U16,U$4:U$23,1))</f>
        <v/>
      </c>
      <c r="W16">
        <f>INDEX(Team_Summary!$A$1:$JF$21,MATCH(_xlfn.XLOOKUP($B16,Helpers!$C$4:$C$26,Helpers!$B$4:$B$26,"",0),Team_Summary!$A:$A,0),MATCH("Team_League Table_Home_Pts",Team_Summary!$1:$1,0))</f>
        <v/>
      </c>
      <c r="X16" s="30">
        <f>IF(COUNTIF(W$4:W$23,W16)&gt;1,"T"&amp;_xlfn.RANK.EQ(W16,W$4:W$23,0),_xlfn.RANK.EQ(W16,W$4:W$23,0))</f>
        <v/>
      </c>
      <c r="Y16">
        <f>INDEX(Team_Summary!$A$1:$JF$21,MATCH(_xlfn.XLOOKUP($B16,Helpers!$C$4:$C$26,Helpers!$B$4:$B$26,"",0),Team_Summary!$A:$A,0),MATCH("Team_League Table_Away_Pts",Team_Summary!$1:$1,0))</f>
        <v/>
      </c>
      <c r="Z16" s="30">
        <f>IF(COUNTIF(Y$4:Y$23,Y16)&gt;1,"T"&amp;_xlfn.RANK.EQ(Y16,Y$4:Y$23,0),_xlfn.RANK.EQ(Y16,Y$4:Y$23,0))</f>
        <v/>
      </c>
      <c r="AA16">
        <f>INDEX(Team_Summary!$A$1:$JF$21,MATCH(_xlfn.XLOOKUP($B16,Helpers!$C$4:$C$26,Helpers!$B$4:$B$26,"",0),Team_Summary!$A:$A,0),MATCH("Team_League Table_Home_Pts/MP",Team_Summary!$1:$1,0))</f>
        <v/>
      </c>
      <c r="AB16" s="30">
        <f>IF(COUNTIF(AA$4:AA$23,AA16)&gt;1,"T"&amp;_xlfn.RANK.EQ(AA16,AA$4:AA$23,0),_xlfn.RANK.EQ(AA16,AA$4:AA$23,0))</f>
        <v/>
      </c>
      <c r="AC16">
        <f>INDEX(Team_Summary!$A$1:$JF$21,MATCH(_xlfn.XLOOKUP($B16,Helpers!$C$4:$C$26,Helpers!$B$4:$B$26,"",0),Team_Summary!$A:$A,0),MATCH("Team_League Table_Away_Pts/MP",Team_Summary!$1:$1,0))</f>
        <v/>
      </c>
      <c r="AD16" s="30">
        <f>IF(COUNTIF(AC$4:AC$23,AC16)&gt;1,"T"&amp;_xlfn.RANK.EQ(AC16,AC$4:AC$23,0),_xlfn.RANK.EQ(AC16,AC$4:AC$23,0))</f>
        <v/>
      </c>
      <c r="AE16">
        <f>INDEX(Team_Summary!$A$1:$JF$21,MATCH(_xlfn.XLOOKUP($B16,Helpers!$C$4:$C$26,Helpers!$B$4:$B$26,"",0),Team_Summary!$A:$A,0),MATCH("Team_League Table_Overall_Pts/MP",Team_Summary!$1:$1,0))</f>
        <v/>
      </c>
      <c r="AF16" s="30">
        <f>IF(COUNTIF(AE$4:AE$23,AE16)&gt;1,"T"&amp;_xlfn.RANK.EQ(AE16,AE$4:AE$23,0),_xlfn.RANK.EQ(AE16,AE$4:AE$23,0))</f>
        <v/>
      </c>
      <c r="AG16">
        <f>INDEX(Team_Summary!$A$1:$JF$21,MATCH(_xlfn.XLOOKUP($B16,Helpers!$C$4:$C$26,Helpers!$B$4:$B$26,"",0),Team_Summary!$A:$A,0),MATCH("Team_League Table_Home_GF",Team_Summary!$1:$1,0))</f>
        <v/>
      </c>
      <c r="AH16" s="30">
        <f>IF(COUNTIF(AG$4:AG$23,AG16)&gt;1,"T"&amp;_xlfn.RANK.EQ(AG16,AG$4:AG$23,0),_xlfn.RANK.EQ(AG16,AG$4:AG$23,0))</f>
        <v/>
      </c>
      <c r="AI16">
        <f>INDEX(Team_Summary!$A$1:$JF$21,MATCH(_xlfn.XLOOKUP($B16,Helpers!$C$4:$C$26,Helpers!$B$4:$B$26,"",0),Team_Summary!$A:$A,0),MATCH("Team_League Table_Away_GF",Team_Summary!$1:$1,0))</f>
        <v/>
      </c>
      <c r="AJ16" s="30">
        <f>IF(COUNTIF(AI$4:AI$23,AI16)&gt;1,"T"&amp;_xlfn.RANK.EQ(AI16,AI$4:AI$23,0),_xlfn.RANK.EQ(AI16,AI$4:AI$23,0))</f>
        <v/>
      </c>
      <c r="AK16">
        <f>INDEX(Team_Summary!$A$1:$JF$21,MATCH(_xlfn.XLOOKUP($B16,Helpers!$C$4:$C$26,Helpers!$B$4:$B$26,"",0),Team_Summary!$A:$A,0),MATCH("Team_League Table_Home_GA",Team_Summary!$1:$1,0))</f>
        <v/>
      </c>
      <c r="AL16" s="30">
        <f>IF(COUNTIF(AK$4:AK$23,AK16)&gt;1,"T"&amp;_xlfn.RANK.EQ(AK16,AK$4:AK$23,1),_xlfn.RANK.EQ(AK16,AK$4:AK$23,1))</f>
        <v/>
      </c>
      <c r="AM16">
        <f>INDEX(Team_Summary!$A$1:$JF$21,MATCH(_xlfn.XLOOKUP($B16,Helpers!$C$4:$C$26,Helpers!$B$4:$B$26,"",0),Team_Summary!$A:$A,0),MATCH("Team_League Table_Away_GA",Team_Summary!$1:$1,0))</f>
        <v/>
      </c>
      <c r="AN16" s="30">
        <f>IF(COUNTIF(AM$4:AM$23,AM16)&gt;1,"T"&amp;_xlfn.RANK.EQ(AM16,AM$4:AM$23,1),_xlfn.RANK.EQ(AM16,AM$4:AM$23,1))</f>
        <v/>
      </c>
      <c r="AO16">
        <f>INDEX(Team_Summary!$A$1:$JF$21,MATCH(_xlfn.XLOOKUP($B16,Helpers!$C$4:$C$26,Helpers!$B$4:$B$26,"",0),Team_Summary!$A:$A,0),MATCH("Team_League Table_Home_GD",Team_Summary!$1:$1,0))</f>
        <v/>
      </c>
      <c r="AP16" s="30">
        <f>IF(COUNTIF(AO$4:AO$23,AO16)&gt;1,"T"&amp;_xlfn.RANK.EQ(AO16,AO$4:AO$23,0),_xlfn.RANK.EQ(AO16,AO$4:AO$23,0))</f>
        <v/>
      </c>
      <c r="AQ16">
        <f>INDEX(Team_Summary!$A$1:$JF$21,MATCH(_xlfn.XLOOKUP($B16,Helpers!$C$4:$C$26,Helpers!$B$4:$B$26,"",0),Team_Summary!$A:$A,0),MATCH("Team_League Table_Away_GD",Team_Summary!$1:$1,0))</f>
        <v/>
      </c>
      <c r="AR16" s="30">
        <f>IF(COUNTIF(AQ$4:AQ$23,AQ16)&gt;1,"T"&amp;_xlfn.RANK.EQ(AQ16,AQ$4:AQ$23,0),_xlfn.RANK.EQ(AQ16,AQ$4:AQ$23,0))</f>
        <v/>
      </c>
      <c r="AS16">
        <f>INDEX(Team_Summary!$A$1:$JF$21,MATCH(_xlfn.XLOOKUP($B16,Helpers!$C$4:$C$26,Helpers!$B$4:$B$26,"",0),Team_Summary!$A:$A,0),MATCH("Team_Standard_Stats_Gls",Team_Summary!$1:$1,0))</f>
        <v/>
      </c>
      <c r="AT16" s="30">
        <f>IF(COUNTIF(AS$4:AS$23,AS16)&gt;1,"T"&amp;_xlfn.RANK.EQ(AS16,AS$4:AS$23,0),_xlfn.RANK.EQ(AS16,AS$4:AS$23,0))</f>
        <v/>
      </c>
      <c r="AU16" s="27">
        <f>C16/INDEX(Team_Summary!$A$1:$JF$21,MATCH(_xlfn.XLOOKUP($B16,Helpers!$C$4:$C$26,Helpers!$B$4:$B$26,"",0),Team_Summary!$A:$A,0),MATCH("Team_League Table_Overall_MP",Team_Summary!$1:$1,0))</f>
        <v/>
      </c>
      <c r="AV16" s="30">
        <f>IF(COUNTIF(AU$4:AU$23,AU16)&gt;1,"T"&amp;_xlfn.RANK.EQ(AU16,AU$4:AU$23,0),_xlfn.RANK.EQ(AU16,AU$4:AU$23,0))</f>
        <v/>
      </c>
      <c r="AW16">
        <f>INDEX(Team_Summary!$A$1:$JF$21,MATCH(_xlfn.XLOOKUP($B16,Helpers!$C$4:$C$26,Helpers!$B$4:$B$26,"",0),Team_Summary!$A:$A,0),MATCH("Team_Standard_Stats_G-PK",Team_Summary!$1:$1,0))</f>
        <v/>
      </c>
      <c r="AX16" s="30">
        <f>IF(COUNTIF(AW$4:AW$23,AW16)&gt;1,"T"&amp;_xlfn.RANK.EQ(AW16,AW$4:AW$23,0),_xlfn.RANK.EQ(AW16,AW$4:AW$23,0))</f>
        <v/>
      </c>
      <c r="AY16">
        <f>INDEX(Team_Summary!$A$1:$JF$21,MATCH(_xlfn.XLOOKUP($B16,Helpers!$C$4:$C$26,Helpers!$B$4:$B$26,"",0),Team_Summary!$A:$A,0),MATCH("Team_Standard_Stats_PK",Team_Summary!$1:$1,0))</f>
        <v/>
      </c>
      <c r="AZ16" s="30">
        <f>IF(COUNTIF(AY$4:AY$23,AY16)&gt;1,"T"&amp;_xlfn.RANK.EQ(AY16,AY$4:AY$23,0),_xlfn.RANK.EQ(AY16,AY$4:AY$23,0))</f>
        <v/>
      </c>
      <c r="BA16">
        <f>INDEX(Team_Summary!$A$1:$JF$21,MATCH(_xlfn.XLOOKUP($B16,Helpers!$C$4:$C$26,Helpers!$B$4:$B$26,"",0),Team_Summary!$A:$A,0),MATCH("Team_Standard_Stats_Ast.1",Team_Summary!$1:$1,0))</f>
        <v/>
      </c>
      <c r="BB16" s="30">
        <f>IF(COUNTIF(BA$4:BA$23,BA16)&gt;1,"T"&amp;_xlfn.RANK.EQ(BA16,BA$4:BA$23,0),_xlfn.RANK.EQ(BA16,BA$4:BA$23,0))</f>
        <v/>
      </c>
      <c r="BC16">
        <f>INDEX(Team_Summary!$A$1:$JF$21,MATCH(_xlfn.XLOOKUP($B16,Helpers!$C$4:$C$26,Helpers!$B$4:$B$26,"",0),Team_Summary!$A:$A,0),MATCH("Team_Standard_Stats_Ast",Team_Summary!$1:$1,0))</f>
        <v/>
      </c>
      <c r="BD16" s="30">
        <f>IF(COUNTIF(BC$4:BC$23,BC16)&gt;1,"T"&amp;_xlfn.RANK.EQ(BC16,BC$4:BC$23,0),_xlfn.RANK.EQ(BC16,BC$4:BC$23,0))</f>
        <v/>
      </c>
      <c r="BE16">
        <f>INDEX(Team_Summary!$A$1:$JF$21,MATCH(_xlfn.XLOOKUP($B16,Helpers!$C$4:$C$26,Helpers!$B$4:$B$26,"",0),Team_Summary!$A:$A,0),MATCH("Team_Miscellaneous_Stats_CrdY",Team_Summary!$1:$1,0))</f>
        <v/>
      </c>
      <c r="BF16" s="30">
        <f>IF(COUNTIF(BE$4:BE$23,BE16)&gt;1,"T"&amp;_xlfn.RANK.EQ(BE16,BE$4:BE$23,1),_xlfn.RANK.EQ(BE16,BE$4:BE$23,1))</f>
        <v/>
      </c>
      <c r="BG16" s="35">
        <f>BE16/INDEX(Team_Summary!$A$1:$JF$21,MATCH(_xlfn.XLOOKUP($B16,Helpers!$C$4:$C$26,Helpers!$B$4:$B$26,"",0),Team_Summary!$A:$A,0),MATCH("Team_League Table_Overall_MP",Team_Summary!$1:$1,0))</f>
        <v/>
      </c>
      <c r="BH16" s="30">
        <f>IF(COUNTIF(BG$4:BG$23,BG16)&gt;1,"T"&amp;_xlfn.RANK.EQ(BG16,BG$4:BG$23,1),_xlfn.RANK.EQ(BG16,BG$4:BG$23,1))</f>
        <v/>
      </c>
      <c r="BI16">
        <f>INDEX(Team_Summary!$A$1:$JF$21,MATCH(_xlfn.XLOOKUP($B16,Helpers!$C$4:$C$26,Helpers!$B$4:$B$26,"",0),Team_Summary!$A:$A,0),MATCH("Team_Miscellaneous_Stats_CrdR",Team_Summary!$1:$1,0))/INDEX(Team_Summary!$A$1:$JF$21,MATCH(_xlfn.XLOOKUP($B16,Helpers!$C$4:$C$26,Helpers!$B$4:$B$26,"",0),Team_Summary!$A:$A,0),MATCH("Team_League Table_Overall_MP",Team_Summary!$1:$1,0))</f>
        <v/>
      </c>
      <c r="BJ16" s="30">
        <f>IF(COUNTIF(BI$4:BI$23,BI16)&gt;1,"T"&amp;_xlfn.RANK.EQ(BI16,BI$4:BI$23,1),_xlfn.RANK.EQ(BI16,BI$4:BI$23,1))</f>
        <v/>
      </c>
      <c r="BK16">
        <f>INDEX(Team_Summary!$A$1:$JF$21,MATCH(_xlfn.XLOOKUP($B16,Helpers!$C$4:$C$26,Helpers!$B$4:$B$26,"",0),Team_Summary!$A:$A,0),MATCH("Team_Goalkeeping_SoTA",Team_Summary!$1:$1,0))/INDEX(Team_Summary!$A$1:$JF$21,MATCH(_xlfn.XLOOKUP($B16,Helpers!$C$4:$C$26,Helpers!$B$4:$B$26,"",0),Team_Summary!$A:$A,0),MATCH("Team_League Table_Overall_MP",Team_Summary!$1:$1,0))</f>
        <v/>
      </c>
      <c r="BL16" s="30">
        <f>IF(COUNTIF(BK$4:BK$23,BK16)&gt;1,"T"&amp;_xlfn.RANK.EQ(BK16,BK$4:BK$23,1),_xlfn.RANK.EQ(BK16,BK$4:BK$23,1))</f>
        <v/>
      </c>
      <c r="BM16">
        <f>INDEX(Team_Summary!$A$1:$JF$21,MATCH(_xlfn.XLOOKUP($B16,Helpers!$C$4:$C$26,Helpers!$B$4:$B$26,"",0),Team_Summary!$A:$A,0),MATCH("Team_Goalkeeping_Save%",Team_Summary!$1:$1,0))</f>
        <v/>
      </c>
      <c r="BN16" s="30">
        <f>IF(COUNTIF(BM$4:BM$23,BM16)&gt;1,"T"&amp;_xlfn.RANK.EQ(BM16,BM$4:BM$23,0),_xlfn.RANK.EQ(BM16,BM$4:BM$23,0))</f>
        <v/>
      </c>
      <c r="BO16">
        <f>INDEX(Team_Summary!$A$1:$JF$21,MATCH(_xlfn.XLOOKUP($B16,Helpers!$C$4:$C$26,Helpers!$B$4:$B$26,"",0),Team_Summary!$A:$A,0),MATCH("Team_Goalkeeping_CS%",Team_Summary!$1:$1,0))</f>
        <v/>
      </c>
      <c r="BP16" s="30">
        <f>IF(COUNTIF(BO$4:BO$23,BO16)&gt;1,"T"&amp;_xlfn.RANK.EQ(BO16,BO$4:BO$23,0),_xlfn.RANK.EQ(BO16,BO$4:BO$23,0))</f>
        <v/>
      </c>
      <c r="BQ16">
        <f>INDEX(Team_Summary!$A$1:$JF$21,MATCH(_xlfn.XLOOKUP($B16,Helpers!$C$4:$C$26,Helpers!$B$4:$B$26,"",0),Team_Summary!$A:$A,0),MATCH("Team_Goalkeeping_Save%.1",Team_Summary!$1:$1,0))</f>
        <v/>
      </c>
      <c r="BR16" s="30">
        <f>IF(COUNTIF(BQ$4:BQ$23,BQ16)&gt;1,"T"&amp;_xlfn.RANK.EQ(BQ16,BQ$4:BQ$23,0),_xlfn.RANK.EQ(BQ16,BQ$4:BQ$23,0))</f>
        <v/>
      </c>
      <c r="BS16">
        <f>INDEX(Team_Summary!$A$1:$JF$21,MATCH(_xlfn.XLOOKUP($B16,Helpers!$C$4:$C$26,Helpers!$B$4:$B$26,"",0),Team_Summary!$A:$A,0),MATCH("Team_Advanced_Goalkeeping_FK",Team_Summary!$1:$1,0))</f>
        <v/>
      </c>
      <c r="BT16" s="30">
        <f>IF(COUNTIF(BS$4:BS$23,BS16)&gt;1,"T"&amp;_xlfn.RANK.EQ(BS16,BS$4:BS$23,1),_xlfn.RANK.EQ(BS16,BS$4:BS$23,1))</f>
        <v/>
      </c>
      <c r="BU16">
        <f>INDEX(Team_Summary!$A$1:$JF$21,MATCH(_xlfn.XLOOKUP($B16,Helpers!$C$4:$C$26,Helpers!$B$4:$B$26,"",0),Team_Summary!$A:$A,0),MATCH("Team_Advanced_Goalkeeping_CK",Team_Summary!$1:$1,0))</f>
        <v/>
      </c>
      <c r="BV16" s="30">
        <f>IF(COUNTIF(BU$4:BU$23,BU16)&gt;1,"T"&amp;_xlfn.RANK.EQ(BU16,BU$4:BU$23,1),_xlfn.RANK.EQ(BU16,BU$4:BU$23,1))</f>
        <v/>
      </c>
      <c r="BW16">
        <f>INDEX(Team_Summary!$A$1:$JF$21,MATCH(_xlfn.XLOOKUP($B16,Helpers!$C$4:$C$26,Helpers!$B$4:$B$26,"",0),Team_Summary!$A:$A,0),MATCH("Team_Advanced_Goalkeeping_Stp%",Team_Summary!$1:$1,0))</f>
        <v/>
      </c>
      <c r="BX16" s="30">
        <f>IF(COUNTIF(BW$4:BW$23,BW16)&gt;1,"T"&amp;_xlfn.RANK.EQ(BW16,BW$4:BW$23,0),_xlfn.RANK.EQ(BW16,BW$4:BW$23,0))</f>
        <v/>
      </c>
      <c r="BY16">
        <f>INDEX(Team_Summary!$A$1:$JF$21,MATCH(_xlfn.XLOOKUP($B16,Helpers!$C$4:$C$26,Helpers!$B$4:$B$26,"",0),Team_Summary!$A:$A,0),MATCH("Team_Shooting_G/SoT",Team_Summary!$1:$1,0))</f>
        <v/>
      </c>
      <c r="BZ16" s="30">
        <f>IF(COUNTIF(BY$4:BY$23,BY16)&gt;1,"T"&amp;_xlfn.RANK.EQ(BY16,BY$4:BY$23,0),_xlfn.RANK.EQ(BY16,BY$4:BY$23,0))</f>
        <v/>
      </c>
      <c r="CA16">
        <f>INDEX(Team_Summary!$A$1:$JF$21,MATCH(_xlfn.XLOOKUP($B16,Helpers!$C$4:$C$26,Helpers!$B$4:$B$26,"",0),Team_Summary!$A:$A,0),MATCH("Team_Shooting_G/Sh",Team_Summary!$1:$1,0))</f>
        <v/>
      </c>
      <c r="CB16" s="30">
        <f>IF(COUNTIF(CA$4:CA$23,CA16)&gt;1,"T"&amp;_xlfn.RANK.EQ(CA16,CA$4:CA$23,0),_xlfn.RANK.EQ(CA16,CA$4:CA$23,0))</f>
        <v/>
      </c>
      <c r="CC16">
        <f>INDEX(Team_Summary!$A$1:$JF$21,MATCH(_xlfn.XLOOKUP($B16,Helpers!$C$4:$C$26,Helpers!$B$4:$B$26,"",0),Team_Summary!$A:$A,0),MATCH("Team_Shooting_SoT",Team_Summary!$1:$1,0))/INDEX(Team_Summary!$A$1:$JF$21,MATCH(_xlfn.XLOOKUP($B16,Helpers!$C$4:$C$26,Helpers!$B$4:$B$26,"",0),Team_Summary!$A:$A,0),MATCH("Team_League Table_Overall_MP",Team_Summary!$1:$1,0))</f>
        <v/>
      </c>
      <c r="CD16" s="30">
        <f>IF(COUNTIF(CC$4:CC$23,CC16)&gt;1,"T"&amp;_xlfn.RANK.EQ(CC16,CC$4:CC$23,0),_xlfn.RANK.EQ(CC16,CC$4:CC$23,0))</f>
        <v/>
      </c>
      <c r="CE16">
        <f>INDEX(Team_Summary!$A$1:$JF$21,MATCH(_xlfn.XLOOKUP($B16,Helpers!$C$4:$C$26,Helpers!$B$4:$B$26,"",0),Team_Summary!$A:$A,0),MATCH("Team_Shooting_SoT%",Team_Summary!$1:$1,0))</f>
        <v/>
      </c>
      <c r="CF16" s="30">
        <f>IF(COUNTIF(CE$4:CE$23,CE16)&gt;1,"T"&amp;_xlfn.RANK.EQ(CE16,CE$4:CE$23,0),_xlfn.RANK.EQ(CE16,CE$4:CE$23,0))</f>
        <v/>
      </c>
      <c r="CG16">
        <f>INDEX(Team_Summary!$A$1:$JF$21,MATCH(_xlfn.XLOOKUP($B16,Helpers!$C$4:$C$26,Helpers!$B$4:$B$26,"",0),Team_Summary!$A:$A,0),MATCH("Team_Pass_Types_CK",Team_Summary!$1:$1,0))/INDEX(Team_Summary!$A$1:$JF$21,MATCH(_xlfn.XLOOKUP($B16,Helpers!$C$4:$C$26,Helpers!$B$4:$B$26,"",0),Team_Summary!$A:$A,0),MATCH("Team_League Table_Overall_MP",Team_Summary!$1:$1,0))</f>
        <v/>
      </c>
      <c r="CH16" s="30">
        <f>IF(COUNTIF(CG$4:CG$23,CG16)&gt;1,"T"&amp;_xlfn.RANK.EQ(CG16,CG$4:CG$23,0),_xlfn.RANK.EQ(CG16,CG$4:CG$23,0))</f>
        <v/>
      </c>
      <c r="CI16">
        <f>INDEX(Team_Summary!$A$1:$JF$21,MATCH(_xlfn.XLOOKUP($B16,Helpers!$C$4:$C$26,Helpers!$B$4:$B$26,"",0),Team_Summary!$A:$A,0),MATCH("Team_Miscellaneous_Stats_TklW",Team_Summary!$1:$1,0))/INDEX(Team_Summary!$A$1:$JF$21,MATCH(_xlfn.XLOOKUP($B16,Helpers!$C$4:$C$26,Helpers!$B$4:$B$26,"",0),Team_Summary!$A:$A,0),MATCH("Team_League Table_Overall_MP",Team_Summary!$1:$1,0))</f>
        <v/>
      </c>
      <c r="CJ16" s="30">
        <f>IF(COUNTIF(CI$4:CI$23,CI16)&gt;1,"T"&amp;_xlfn.RANK.EQ(CI16,CI$4:CI$23,0),_xlfn.RANK.EQ(CI16,CI$4:CI$23,0))</f>
        <v/>
      </c>
      <c r="CK16">
        <f>INDEX(Team_Summary!$A$1:$JF$21,MATCH(_xlfn.XLOOKUP($B16,Helpers!$C$4:$C$26,Helpers!$B$4:$B$26,"",0),Team_Summary!$A:$A,0),MATCH("Team_Defensive_Actions_Sh",Team_Summary!$1:$1,0))/INDEX(Team_Summary!$A$1:$JF$21,MATCH(_xlfn.XLOOKUP($B16,Helpers!$C$4:$C$26,Helpers!$B$4:$B$26,"",0),Team_Summary!$A:$A,0),MATCH("Team_League Table_Overall_MP",Team_Summary!$1:$1,0))</f>
        <v/>
      </c>
      <c r="CL16" s="30">
        <f>IF(COUNTIF(CK$4:CK$23,CK16)&gt;1,"T"&amp;_xlfn.RANK.EQ(CK16,CK$4:CK$23,0),_xlfn.RANK.EQ(CK16,CK$4:CK$23,0))</f>
        <v/>
      </c>
      <c r="CM16">
        <f>INDEX(Team_Summary!$A$1:$JF$21,MATCH(_xlfn.XLOOKUP($B16,Helpers!$C$4:$C$26,Helpers!$B$4:$B$26,"",0),Team_Summary!$A:$A,0),MATCH("Team_Defensive_Actions_Int",Team_Summary!$1:$1,0))/INDEX(Team_Summary!$A$1:$JF$21,MATCH(_xlfn.XLOOKUP($B16,Helpers!$C$4:$C$26,Helpers!$B$4:$B$26,"",0),Team_Summary!$A:$A,0),MATCH("Team_League Table_Overall_MP",Team_Summary!$1:$1,0))</f>
        <v/>
      </c>
      <c r="CN16" s="30">
        <f>IF(COUNTIF(CM$4:CM$23,CM16)&gt;1,"T"&amp;_xlfn.RANK.EQ(CM16,CM$4:CM$23,0),_xlfn.RANK.EQ(CM16,CM$4:CM$23,0))</f>
        <v/>
      </c>
      <c r="CO16">
        <f>INDEX(Team_Summary!$A$1:$JF$21,MATCH(_xlfn.XLOOKUP($B16,Helpers!$C$4:$C$26,Helpers!$B$4:$B$26,"",0),Team_Summary!$A:$A,0),MATCH("Team_Possession_Poss",Team_Summary!$1:$1,0))</f>
        <v/>
      </c>
      <c r="CP16" s="30">
        <f>IF(COUNTIF(CO$4:CO$23,CO16)&gt;1,"T"&amp;_xlfn.RANK.EQ(CO16,CO$4:CO$23,0),_xlfn.RANK.EQ(CO16,CO$4:CO$23,0))</f>
        <v/>
      </c>
      <c r="CQ16">
        <f>INDEX(Team_Summary!$A$1:$JF$21,MATCH(_xlfn.XLOOKUP($B16,Helpers!$C$4:$C$26,Helpers!$B$4:$B$26,"",0),Team_Summary!$A:$A,0),MATCH("Team_Possession_Def Pen",Team_Summary!$1:$1,0))/INDEX(Team_Summary!$A$1:$JF$21,MATCH(_xlfn.XLOOKUP($B16,Helpers!$C$4:$C$26,Helpers!$B$4:$B$26,"",0),Team_Summary!$A:$A,0),MATCH("Team_League Table_Overall_MP",Team_Summary!$1:$1,0))</f>
        <v/>
      </c>
      <c r="CR16" s="30">
        <f>IF(COUNTIF(CQ$4:CQ$23,CQ16)&gt;1,"T"&amp;_xlfn.RANK.EQ(CQ16,CQ$4:CQ$23,0),_xlfn.RANK.EQ(CQ16,CQ$4:CQ$23,0))</f>
        <v/>
      </c>
      <c r="CS16">
        <f>INDEX(Team_Summary!$A$1:$JF$21,MATCH(_xlfn.XLOOKUP($B16,Helpers!$C$4:$C$26,Helpers!$B$4:$B$26,"",0),Team_Summary!$A:$A,0),MATCH("Team_Possession_Def 3rd",Team_Summary!$1:$1,0))/INDEX(Team_Summary!$A$1:$JF$21,MATCH(_xlfn.XLOOKUP($B16,Helpers!$C$4:$C$26,Helpers!$B$4:$B$26,"",0),Team_Summary!$A:$A,0),MATCH("Team_League Table_Overall_MP",Team_Summary!$1:$1,0))</f>
        <v/>
      </c>
      <c r="CT16" s="30">
        <f>IF(COUNTIF(CS$4:CS$23,CS16)&gt;1,"T"&amp;_xlfn.RANK.EQ(CS16,CS$4:CS$23,0),_xlfn.RANK.EQ(CS16,CS$4:CS$23,0))</f>
        <v/>
      </c>
      <c r="CU16">
        <f>INDEX(Team_Summary!$A$1:$JF$21,MATCH(_xlfn.XLOOKUP($B16,Helpers!$C$4:$C$26,Helpers!$B$4:$B$26,"",0),Team_Summary!$A:$A,0),MATCH("Team_Possession_Mid 3rd",Team_Summary!$1:$1,0))/INDEX(Team_Summary!$A$1:$JF$21,MATCH(_xlfn.XLOOKUP($B16,Helpers!$C$4:$C$26,Helpers!$B$4:$B$26,"",0),Team_Summary!$A:$A,0),MATCH("Team_League Table_Overall_MP",Team_Summary!$1:$1,0))</f>
        <v/>
      </c>
      <c r="CV16" s="30">
        <f>IF(COUNTIF(CU$4:CU$23,CU16)&gt;1,"T"&amp;_xlfn.RANK.EQ(CU16,CU$4:CU$23,0),_xlfn.RANK.EQ(CU16,CU$4:CU$23,0))</f>
        <v/>
      </c>
      <c r="CW16">
        <f>INDEX(Team_Summary!$A$1:$JF$21,MATCH(_xlfn.XLOOKUP($B16,Helpers!$C$4:$C$26,Helpers!$B$4:$B$26,"",0),Team_Summary!$A:$A,0),MATCH("Team_Possession_Att 3rd",Team_Summary!$1:$1,0))/INDEX(Team_Summary!$A$1:$JF$21,MATCH(_xlfn.XLOOKUP($B16,Helpers!$C$4:$C$26,Helpers!$B$4:$B$26,"",0),Team_Summary!$A:$A,0),MATCH("Team_League Table_Overall_MP",Team_Summary!$1:$1,0))</f>
        <v/>
      </c>
      <c r="CX16" s="30">
        <f>IF(COUNTIF(CW$4:CW$23,CW16)&gt;1,"T"&amp;_xlfn.RANK.EQ(CW16,CW$4:CW$23,0),_xlfn.RANK.EQ(CW16,CW$4:CW$23,0))</f>
        <v/>
      </c>
      <c r="CY16">
        <f>INDEX(Team_Summary!$A$1:$JF$21,MATCH(_xlfn.XLOOKUP($B16,Helpers!$C$4:$C$26,Helpers!$B$4:$B$26,"",0),Team_Summary!$A:$A,0),MATCH("Team_Possession_Att Pen",Team_Summary!$1:$1,0))/INDEX(Team_Summary!$A$1:$JF$21,MATCH(_xlfn.XLOOKUP($B16,Helpers!$C$4:$C$26,Helpers!$B$4:$B$26,"",0),Team_Summary!$A:$A,0),MATCH("Team_League Table_Overall_MP",Team_Summary!$1:$1,0))</f>
        <v/>
      </c>
      <c r="CZ16" s="30">
        <f>IF(COUNTIF(CY$4:CY$23,CY16)&gt;1,"T"&amp;_xlfn.RANK.EQ(CY16,CY$4:CY$23,0),_xlfn.RANK.EQ(CY16,CY$4:CY$23,0))</f>
        <v/>
      </c>
      <c r="DA16">
        <f>INDEX(Team_Summary!$A$1:$JF$21,MATCH(_xlfn.XLOOKUP($B16,Helpers!$C$4:$C$26,Helpers!$B$4:$B$26,"",0),Team_Summary!$A:$A,0),MATCH("Team_Miscellaneous_Stats_Fls",Team_Summary!$1:$1,0))/INDEX(Team_Summary!$A$1:$JF$21,MATCH(_xlfn.XLOOKUP($B16,Helpers!$C$4:$C$26,Helpers!$B$4:$B$26,"",0),Team_Summary!$A:$A,0),MATCH("Team_League Table_Overall_MP",Team_Summary!$1:$1,0))</f>
        <v/>
      </c>
      <c r="DB16" s="30">
        <f>IF(COUNTIF(DA$4:DA$23,DA16)&gt;1,"T"&amp;_xlfn.RANK.EQ(DA16,DA$4:DA$23,1),_xlfn.RANK.EQ(DA16,DA$4:DA$23,1))</f>
        <v/>
      </c>
      <c r="DC16">
        <f>INDEX(Team_Summary!$A$1:$JF$21,MATCH(_xlfn.XLOOKUP($B16,Helpers!$C$4:$C$26,Helpers!$B$4:$B$26,"",0),Team_Summary!$A:$A,0),MATCH("Team_Miscellaneous_Stats_Fld",Team_Summary!$1:$1,0))/INDEX(Team_Summary!$A$1:$JF$21,MATCH(_xlfn.XLOOKUP($B16,Helpers!$C$4:$C$26,Helpers!$B$4:$B$26,"",0),Team_Summary!$A:$A,0),MATCH("Team_League Table_Overall_MP",Team_Summary!$1:$1,0))</f>
        <v/>
      </c>
      <c r="DD16" s="30">
        <f>IF(COUNTIF(DC$4:DC$23,DC16)&gt;1,"T"&amp;_xlfn.RANK.EQ(DC16,DC$4:DC$23,0),_xlfn.RANK.EQ(DC16,DC$4:DC$23,0))</f>
        <v/>
      </c>
      <c r="DE16">
        <f>INDEX(Team_Summary!$A$1:$JF$21,MATCH(_xlfn.XLOOKUP($B16,Helpers!$C$4:$C$26,Helpers!$B$4:$B$26,"",0),Team_Summary!$A:$A,0),MATCH("Team_Miscellaneous_Stats_Won",Team_Summary!$1:$1,0))/INDEX(Team_Summary!$A$1:$JF$21,MATCH(_xlfn.XLOOKUP($B16,Helpers!$C$4:$C$26,Helpers!$B$4:$B$26,"",0),Team_Summary!$A:$A,0),MATCH("Team_League Table_Overall_MP",Team_Summary!$1:$1,0))</f>
        <v/>
      </c>
      <c r="DF16" s="30">
        <f>IF(COUNTIF(DE$4:DE$23,DE16)&gt;1,"T"&amp;_xlfn.RANK.EQ(DE16,DE$4:DE$23,0),_xlfn.RANK.EQ(DE16,DE$4:DE$23,0))</f>
        <v/>
      </c>
      <c r="DG16">
        <f>INDEX(Team_Summary!$A$1:$JF$21,MATCH(_xlfn.XLOOKUP($B16,Helpers!$C$4:$C$26,Helpers!$B$4:$B$26,"",0),Team_Summary!$A:$A,0),MATCH("Team_Miscellaneous_Stats_Pkwon",Team_Summary!$1:$1,0))</f>
        <v/>
      </c>
      <c r="DH16" s="30">
        <f>IF(COUNTIF(DG$4:DG$23,DG16)&gt;1,"T"&amp;_xlfn.RANK.EQ(DG16,DG$4:DG$23,0),_xlfn.RANK.EQ(DG16,DG$4:DG$23,0))</f>
        <v/>
      </c>
      <c r="DI16">
        <f>INDEX(Team_Summary!$A$1:$JF$21,MATCH(_xlfn.XLOOKUP($B16,Helpers!$C$4:$C$26,Helpers!$B$4:$B$26,"",0),Team_Summary!$A:$A,0),MATCH("Team_Miscellaneous_Stats_Pkcon",Team_Summary!$1:$1,0))</f>
        <v/>
      </c>
      <c r="DJ16" s="30">
        <f>IF(COUNTIF(DI$4:DI$23,DI16)&gt;1,"T"&amp;_xlfn.RANK.EQ(DI16,DI$4:DI$23,1),_xlfn.RANK.EQ(DI16,DI$4:DI$23,1))</f>
        <v/>
      </c>
      <c r="DK16">
        <f>INDEX(Team_Summary!$A$1:$JF$21,MATCH(_xlfn.XLOOKUP($B16,Helpers!$C$4:$C$26,Helpers!$B$4:$B$26,"",0),Team_Summary!$A:$A,0),MATCH("Team_Playing_Time_Age",Team_Summary!$1:$1,0))</f>
        <v/>
      </c>
      <c r="DL16" s="30">
        <f>IF(COUNTIF(DK$4:DK$23,DK16)&gt;1,"T"&amp;_xlfn.RANK.EQ(DK16,DK$4:DK$23,1),_xlfn.RANK.EQ(DK16,DK$4:DK$23,1))</f>
        <v/>
      </c>
    </row>
    <row r="17">
      <c r="B17" t="inlineStr">
        <is>
          <t>MUN</t>
        </is>
      </c>
      <c r="C17">
        <f>INDEX(Team_Summary!$A$1:$JF$21,MATCH(_xlfn.XLOOKUP($B17,Helpers!$C$4:$C$26,Helpers!$B$4:$B$26,"",0),Team_Summary!$A:$A,0),MATCH("Team_League Table_Overall_GF",Team_Summary!$1:$1,0))</f>
        <v/>
      </c>
      <c r="D17" s="30">
        <f>IF(COUNTIF(C$4:C$23,C17)&gt;1,"T"&amp;_xlfn.RANK.EQ(C17,C$4:C$23,0),_xlfn.RANK.EQ(C17,C$4:C$23,0))</f>
        <v/>
      </c>
      <c r="E17">
        <f>INDEX(Team_Summary!$A$1:$JF$21,MATCH(_xlfn.XLOOKUP($B17,Helpers!$C$4:$C$26,Helpers!$B$4:$B$26,"",0),Team_Summary!$A:$A,0),MATCH("Team_League Table_Overall_GA",Team_Summary!$1:$1,0))</f>
        <v/>
      </c>
      <c r="F17" s="30">
        <f>IF(COUNTIF(E$4:E$23,E17)&gt;1,"T"&amp;_xlfn.RANK.EQ(E17,E$4:E$23,1),_xlfn.RANK.EQ(E17,E$4:E$23,1))</f>
        <v/>
      </c>
      <c r="G17">
        <f>INDEX(Team_Summary!$A$1:$JF$21,MATCH(_xlfn.XLOOKUP($B17,Helpers!$C$4:$C$26,Helpers!$B$4:$B$26,"",0),Team_Summary!$A:$A,0),MATCH("Team_League Table_Overall_GD",Team_Summary!$1:$1,0))</f>
        <v/>
      </c>
      <c r="H17" s="30">
        <f>IF(COUNTIF(G$4:G$23,G17)&gt;1,"T"&amp;_xlfn.RANK.EQ(G17,G$4:G$23,0),_xlfn.RANK.EQ(G17,G$4:G$23,0))</f>
        <v/>
      </c>
      <c r="I17" s="27">
        <f>G17/INDEX(Team_Summary!$A$1:$JF$21,MATCH(_xlfn.XLOOKUP($B17,Helpers!$C$4:$C$26,Helpers!$B$4:$B$26,"",0),Team_Summary!$A:$A,0),MATCH("Team_League Table_Overall_MP",Team_Summary!$1:$1,0))</f>
        <v/>
      </c>
      <c r="J17" s="30">
        <f>IF(COUNTIF(I$4:I$23,I17)&gt;1,"T"&amp;_xlfn.RANK.EQ(I17,I$4:I$23,0),_xlfn.RANK.EQ(I17,I$4:I$23,0))</f>
        <v/>
      </c>
      <c r="K17">
        <f>INDEX(Team_Summary!$A$1:$JF$21,MATCH(_xlfn.XLOOKUP($B17,Helpers!$C$4:$C$26,Helpers!$B$4:$B$26,"",0),Team_Summary!$A:$A,0),MATCH("Team_League Table_Home_W",Team_Summary!$1:$1,0))</f>
        <v/>
      </c>
      <c r="L17" s="30">
        <f>IF(COUNTIF(K$4:K$23,K17)&gt;1,"T"&amp;_xlfn.RANK.EQ(K17,K$4:K$23,0),_xlfn.RANK.EQ(K17,K$4:K$23,0))</f>
        <v/>
      </c>
      <c r="M17">
        <f>INDEX(Team_Summary!$A$1:$JF$21,MATCH(_xlfn.XLOOKUP($B17,Helpers!$C$4:$C$26,Helpers!$B$4:$B$26,"",0),Team_Summary!$A:$A,0),MATCH("Team_League Table_Away_W",Team_Summary!$1:$1,0))</f>
        <v/>
      </c>
      <c r="N17" s="30">
        <f>IF(COUNTIF(M$4:M$23,M17)&gt;1,"T"&amp;_xlfn.RANK.EQ(M17,M$4:M$23,0),_xlfn.RANK.EQ(M17,M$4:M$23,0))</f>
        <v/>
      </c>
      <c r="O17">
        <f>INDEX(Team_Summary!$A$1:$JF$21,MATCH(_xlfn.XLOOKUP($B17,Helpers!$C$4:$C$26,Helpers!$B$4:$B$26,"",0),Team_Summary!$A:$A,0),MATCH("Team_League Table_Home_D",Team_Summary!$1:$1,0))</f>
        <v/>
      </c>
      <c r="P17" s="30">
        <f>IF(COUNTIF(O$4:O$23,O17)&gt;1,"T"&amp;_xlfn.RANK.EQ(O17,O$4:O$23,1),_xlfn.RANK.EQ(O17,O$4:O$23,1))</f>
        <v/>
      </c>
      <c r="Q17">
        <f>INDEX(Team_Summary!$A$1:$JF$21,MATCH(_xlfn.XLOOKUP($B17,Helpers!$C$4:$C$26,Helpers!$B$4:$B$26,"",0),Team_Summary!$A:$A,0),MATCH("Team_League Table_Away_D",Team_Summary!$1:$1,0))</f>
        <v/>
      </c>
      <c r="R17" s="30">
        <f>IF(COUNTIF(Q$4:Q$23,Q17)&gt;1,"T"&amp;_xlfn.RANK.EQ(Q17,Q$4:Q$23,1),_xlfn.RANK.EQ(Q17,Q$4:Q$23,1))</f>
        <v/>
      </c>
      <c r="S17">
        <f>INDEX(Team_Summary!$A$1:$JF$21,MATCH(_xlfn.XLOOKUP($B17,Helpers!$C$4:$C$26,Helpers!$B$4:$B$26,"",0),Team_Summary!$A:$A,0),MATCH("Team_League Table_Home_L",Team_Summary!$1:$1,0))</f>
        <v/>
      </c>
      <c r="T17" s="30">
        <f>IF(COUNTIF(S$4:S$23,S17)&gt;1,"T"&amp;_xlfn.RANK.EQ(S17,S$4:S$23,1),_xlfn.RANK.EQ(S17,S$4:S$23,1))</f>
        <v/>
      </c>
      <c r="U17">
        <f>INDEX(Team_Summary!$A$1:$JF$21,MATCH(_xlfn.XLOOKUP($B17,Helpers!$C$4:$C$26,Helpers!$B$4:$B$26,"",0),Team_Summary!$A:$A,0),MATCH("Team_League Table_Away_L",Team_Summary!$1:$1,0))</f>
        <v/>
      </c>
      <c r="V17" s="30">
        <f>IF(COUNTIF(U$4:U$23,U17)&gt;1,"T"&amp;_xlfn.RANK.EQ(U17,U$4:U$23,1),_xlfn.RANK.EQ(U17,U$4:U$23,1))</f>
        <v/>
      </c>
      <c r="W17">
        <f>INDEX(Team_Summary!$A$1:$JF$21,MATCH(_xlfn.XLOOKUP($B17,Helpers!$C$4:$C$26,Helpers!$B$4:$B$26,"",0),Team_Summary!$A:$A,0),MATCH("Team_League Table_Home_Pts",Team_Summary!$1:$1,0))</f>
        <v/>
      </c>
      <c r="X17" s="30">
        <f>IF(COUNTIF(W$4:W$23,W17)&gt;1,"T"&amp;_xlfn.RANK.EQ(W17,W$4:W$23,0),_xlfn.RANK.EQ(W17,W$4:W$23,0))</f>
        <v/>
      </c>
      <c r="Y17">
        <f>INDEX(Team_Summary!$A$1:$JF$21,MATCH(_xlfn.XLOOKUP($B17,Helpers!$C$4:$C$26,Helpers!$B$4:$B$26,"",0),Team_Summary!$A:$A,0),MATCH("Team_League Table_Away_Pts",Team_Summary!$1:$1,0))</f>
        <v/>
      </c>
      <c r="Z17" s="30">
        <f>IF(COUNTIF(Y$4:Y$23,Y17)&gt;1,"T"&amp;_xlfn.RANK.EQ(Y17,Y$4:Y$23,0),_xlfn.RANK.EQ(Y17,Y$4:Y$23,0))</f>
        <v/>
      </c>
      <c r="AA17">
        <f>INDEX(Team_Summary!$A$1:$JF$21,MATCH(_xlfn.XLOOKUP($B17,Helpers!$C$4:$C$26,Helpers!$B$4:$B$26,"",0),Team_Summary!$A:$A,0),MATCH("Team_League Table_Home_Pts/MP",Team_Summary!$1:$1,0))</f>
        <v/>
      </c>
      <c r="AB17" s="30">
        <f>IF(COUNTIF(AA$4:AA$23,AA17)&gt;1,"T"&amp;_xlfn.RANK.EQ(AA17,AA$4:AA$23,0),_xlfn.RANK.EQ(AA17,AA$4:AA$23,0))</f>
        <v/>
      </c>
      <c r="AC17">
        <f>INDEX(Team_Summary!$A$1:$JF$21,MATCH(_xlfn.XLOOKUP($B17,Helpers!$C$4:$C$26,Helpers!$B$4:$B$26,"",0),Team_Summary!$A:$A,0),MATCH("Team_League Table_Away_Pts/MP",Team_Summary!$1:$1,0))</f>
        <v/>
      </c>
      <c r="AD17" s="30">
        <f>IF(COUNTIF(AC$4:AC$23,AC17)&gt;1,"T"&amp;_xlfn.RANK.EQ(AC17,AC$4:AC$23,0),_xlfn.RANK.EQ(AC17,AC$4:AC$23,0))</f>
        <v/>
      </c>
      <c r="AE17">
        <f>INDEX(Team_Summary!$A$1:$JF$21,MATCH(_xlfn.XLOOKUP($B17,Helpers!$C$4:$C$26,Helpers!$B$4:$B$26,"",0),Team_Summary!$A:$A,0),MATCH("Team_League Table_Overall_Pts/MP",Team_Summary!$1:$1,0))</f>
        <v/>
      </c>
      <c r="AF17" s="30">
        <f>IF(COUNTIF(AE$4:AE$23,AE17)&gt;1,"T"&amp;_xlfn.RANK.EQ(AE17,AE$4:AE$23,0),_xlfn.RANK.EQ(AE17,AE$4:AE$23,0))</f>
        <v/>
      </c>
      <c r="AG17">
        <f>INDEX(Team_Summary!$A$1:$JF$21,MATCH(_xlfn.XLOOKUP($B17,Helpers!$C$4:$C$26,Helpers!$B$4:$B$26,"",0),Team_Summary!$A:$A,0),MATCH("Team_League Table_Home_GF",Team_Summary!$1:$1,0))</f>
        <v/>
      </c>
      <c r="AH17" s="30">
        <f>IF(COUNTIF(AG$4:AG$23,AG17)&gt;1,"T"&amp;_xlfn.RANK.EQ(AG17,AG$4:AG$23,0),_xlfn.RANK.EQ(AG17,AG$4:AG$23,0))</f>
        <v/>
      </c>
      <c r="AI17">
        <f>INDEX(Team_Summary!$A$1:$JF$21,MATCH(_xlfn.XLOOKUP($B17,Helpers!$C$4:$C$26,Helpers!$B$4:$B$26,"",0),Team_Summary!$A:$A,0),MATCH("Team_League Table_Away_GF",Team_Summary!$1:$1,0))</f>
        <v/>
      </c>
      <c r="AJ17" s="30">
        <f>IF(COUNTIF(AI$4:AI$23,AI17)&gt;1,"T"&amp;_xlfn.RANK.EQ(AI17,AI$4:AI$23,0),_xlfn.RANK.EQ(AI17,AI$4:AI$23,0))</f>
        <v/>
      </c>
      <c r="AK17">
        <f>INDEX(Team_Summary!$A$1:$JF$21,MATCH(_xlfn.XLOOKUP($B17,Helpers!$C$4:$C$26,Helpers!$B$4:$B$26,"",0),Team_Summary!$A:$A,0),MATCH("Team_League Table_Home_GA",Team_Summary!$1:$1,0))</f>
        <v/>
      </c>
      <c r="AL17" s="30">
        <f>IF(COUNTIF(AK$4:AK$23,AK17)&gt;1,"T"&amp;_xlfn.RANK.EQ(AK17,AK$4:AK$23,1),_xlfn.RANK.EQ(AK17,AK$4:AK$23,1))</f>
        <v/>
      </c>
      <c r="AM17">
        <f>INDEX(Team_Summary!$A$1:$JF$21,MATCH(_xlfn.XLOOKUP($B17,Helpers!$C$4:$C$26,Helpers!$B$4:$B$26,"",0),Team_Summary!$A:$A,0),MATCH("Team_League Table_Away_GA",Team_Summary!$1:$1,0))</f>
        <v/>
      </c>
      <c r="AN17" s="30">
        <f>IF(COUNTIF(AM$4:AM$23,AM17)&gt;1,"T"&amp;_xlfn.RANK.EQ(AM17,AM$4:AM$23,1),_xlfn.RANK.EQ(AM17,AM$4:AM$23,1))</f>
        <v/>
      </c>
      <c r="AO17">
        <f>INDEX(Team_Summary!$A$1:$JF$21,MATCH(_xlfn.XLOOKUP($B17,Helpers!$C$4:$C$26,Helpers!$B$4:$B$26,"",0),Team_Summary!$A:$A,0),MATCH("Team_League Table_Home_GD",Team_Summary!$1:$1,0))</f>
        <v/>
      </c>
      <c r="AP17" s="30">
        <f>IF(COUNTIF(AO$4:AO$23,AO17)&gt;1,"T"&amp;_xlfn.RANK.EQ(AO17,AO$4:AO$23,0),_xlfn.RANK.EQ(AO17,AO$4:AO$23,0))</f>
        <v/>
      </c>
      <c r="AQ17">
        <f>INDEX(Team_Summary!$A$1:$JF$21,MATCH(_xlfn.XLOOKUP($B17,Helpers!$C$4:$C$26,Helpers!$B$4:$B$26,"",0),Team_Summary!$A:$A,0),MATCH("Team_League Table_Away_GD",Team_Summary!$1:$1,0))</f>
        <v/>
      </c>
      <c r="AR17" s="30">
        <f>IF(COUNTIF(AQ$4:AQ$23,AQ17)&gt;1,"T"&amp;_xlfn.RANK.EQ(AQ17,AQ$4:AQ$23,0),_xlfn.RANK.EQ(AQ17,AQ$4:AQ$23,0))</f>
        <v/>
      </c>
      <c r="AS17">
        <f>INDEX(Team_Summary!$A$1:$JF$21,MATCH(_xlfn.XLOOKUP($B17,Helpers!$C$4:$C$26,Helpers!$B$4:$B$26,"",0),Team_Summary!$A:$A,0),MATCH("Team_Standard_Stats_Gls",Team_Summary!$1:$1,0))</f>
        <v/>
      </c>
      <c r="AT17" s="30">
        <f>IF(COUNTIF(AS$4:AS$23,AS17)&gt;1,"T"&amp;_xlfn.RANK.EQ(AS17,AS$4:AS$23,0),_xlfn.RANK.EQ(AS17,AS$4:AS$23,0))</f>
        <v/>
      </c>
      <c r="AU17" s="27">
        <f>C17/INDEX(Team_Summary!$A$1:$JF$21,MATCH(_xlfn.XLOOKUP($B17,Helpers!$C$4:$C$26,Helpers!$B$4:$B$26,"",0),Team_Summary!$A:$A,0),MATCH("Team_League Table_Overall_MP",Team_Summary!$1:$1,0))</f>
        <v/>
      </c>
      <c r="AV17" s="30">
        <f>IF(COUNTIF(AU$4:AU$23,AU17)&gt;1,"T"&amp;_xlfn.RANK.EQ(AU17,AU$4:AU$23,0),_xlfn.RANK.EQ(AU17,AU$4:AU$23,0))</f>
        <v/>
      </c>
      <c r="AW17">
        <f>INDEX(Team_Summary!$A$1:$JF$21,MATCH(_xlfn.XLOOKUP($B17,Helpers!$C$4:$C$26,Helpers!$B$4:$B$26,"",0),Team_Summary!$A:$A,0),MATCH("Team_Standard_Stats_G-PK",Team_Summary!$1:$1,0))</f>
        <v/>
      </c>
      <c r="AX17" s="30">
        <f>IF(COUNTIF(AW$4:AW$23,AW17)&gt;1,"T"&amp;_xlfn.RANK.EQ(AW17,AW$4:AW$23,0),_xlfn.RANK.EQ(AW17,AW$4:AW$23,0))</f>
        <v/>
      </c>
      <c r="AY17">
        <f>INDEX(Team_Summary!$A$1:$JF$21,MATCH(_xlfn.XLOOKUP($B17,Helpers!$C$4:$C$26,Helpers!$B$4:$B$26,"",0),Team_Summary!$A:$A,0),MATCH("Team_Standard_Stats_PK",Team_Summary!$1:$1,0))</f>
        <v/>
      </c>
      <c r="AZ17" s="30">
        <f>IF(COUNTIF(AY$4:AY$23,AY17)&gt;1,"T"&amp;_xlfn.RANK.EQ(AY17,AY$4:AY$23,0),_xlfn.RANK.EQ(AY17,AY$4:AY$23,0))</f>
        <v/>
      </c>
      <c r="BA17">
        <f>INDEX(Team_Summary!$A$1:$JF$21,MATCH(_xlfn.XLOOKUP($B17,Helpers!$C$4:$C$26,Helpers!$B$4:$B$26,"",0),Team_Summary!$A:$A,0),MATCH("Team_Standard_Stats_Ast.1",Team_Summary!$1:$1,0))</f>
        <v/>
      </c>
      <c r="BB17" s="30">
        <f>IF(COUNTIF(BA$4:BA$23,BA17)&gt;1,"T"&amp;_xlfn.RANK.EQ(BA17,BA$4:BA$23,0),_xlfn.RANK.EQ(BA17,BA$4:BA$23,0))</f>
        <v/>
      </c>
      <c r="BC17">
        <f>INDEX(Team_Summary!$A$1:$JF$21,MATCH(_xlfn.XLOOKUP($B17,Helpers!$C$4:$C$26,Helpers!$B$4:$B$26,"",0),Team_Summary!$A:$A,0),MATCH("Team_Standard_Stats_Ast",Team_Summary!$1:$1,0))</f>
        <v/>
      </c>
      <c r="BD17" s="30">
        <f>IF(COUNTIF(BC$4:BC$23,BC17)&gt;1,"T"&amp;_xlfn.RANK.EQ(BC17,BC$4:BC$23,0),_xlfn.RANK.EQ(BC17,BC$4:BC$23,0))</f>
        <v/>
      </c>
      <c r="BE17">
        <f>INDEX(Team_Summary!$A$1:$JF$21,MATCH(_xlfn.XLOOKUP($B17,Helpers!$C$4:$C$26,Helpers!$B$4:$B$26,"",0),Team_Summary!$A:$A,0),MATCH("Team_Miscellaneous_Stats_CrdY",Team_Summary!$1:$1,0))</f>
        <v/>
      </c>
      <c r="BF17" s="30">
        <f>IF(COUNTIF(BE$4:BE$23,BE17)&gt;1,"T"&amp;_xlfn.RANK.EQ(BE17,BE$4:BE$23,1),_xlfn.RANK.EQ(BE17,BE$4:BE$23,1))</f>
        <v/>
      </c>
      <c r="BG17" s="35">
        <f>BE17/INDEX(Team_Summary!$A$1:$JF$21,MATCH(_xlfn.XLOOKUP($B17,Helpers!$C$4:$C$26,Helpers!$B$4:$B$26,"",0),Team_Summary!$A:$A,0),MATCH("Team_League Table_Overall_MP",Team_Summary!$1:$1,0))</f>
        <v/>
      </c>
      <c r="BH17" s="30">
        <f>IF(COUNTIF(BG$4:BG$23,BG17)&gt;1,"T"&amp;_xlfn.RANK.EQ(BG17,BG$4:BG$23,1),_xlfn.RANK.EQ(BG17,BG$4:BG$23,1))</f>
        <v/>
      </c>
      <c r="BI17">
        <f>INDEX(Team_Summary!$A$1:$JF$21,MATCH(_xlfn.XLOOKUP($B17,Helpers!$C$4:$C$26,Helpers!$B$4:$B$26,"",0),Team_Summary!$A:$A,0),MATCH("Team_Miscellaneous_Stats_CrdR",Team_Summary!$1:$1,0))/INDEX(Team_Summary!$A$1:$JF$21,MATCH(_xlfn.XLOOKUP($B17,Helpers!$C$4:$C$26,Helpers!$B$4:$B$26,"",0),Team_Summary!$A:$A,0),MATCH("Team_League Table_Overall_MP",Team_Summary!$1:$1,0))</f>
        <v/>
      </c>
      <c r="BJ17" s="30">
        <f>IF(COUNTIF(BI$4:BI$23,BI17)&gt;1,"T"&amp;_xlfn.RANK.EQ(BI17,BI$4:BI$23,1),_xlfn.RANK.EQ(BI17,BI$4:BI$23,1))</f>
        <v/>
      </c>
      <c r="BK17">
        <f>INDEX(Team_Summary!$A$1:$JF$21,MATCH(_xlfn.XLOOKUP($B17,Helpers!$C$4:$C$26,Helpers!$B$4:$B$26,"",0),Team_Summary!$A:$A,0),MATCH("Team_Goalkeeping_SoTA",Team_Summary!$1:$1,0))/INDEX(Team_Summary!$A$1:$JF$21,MATCH(_xlfn.XLOOKUP($B17,Helpers!$C$4:$C$26,Helpers!$B$4:$B$26,"",0),Team_Summary!$A:$A,0),MATCH("Team_League Table_Overall_MP",Team_Summary!$1:$1,0))</f>
        <v/>
      </c>
      <c r="BL17" s="30">
        <f>IF(COUNTIF(BK$4:BK$23,BK17)&gt;1,"T"&amp;_xlfn.RANK.EQ(BK17,BK$4:BK$23,1),_xlfn.RANK.EQ(BK17,BK$4:BK$23,1))</f>
        <v/>
      </c>
      <c r="BM17">
        <f>INDEX(Team_Summary!$A$1:$JF$21,MATCH(_xlfn.XLOOKUP($B17,Helpers!$C$4:$C$26,Helpers!$B$4:$B$26,"",0),Team_Summary!$A:$A,0),MATCH("Team_Goalkeeping_Save%",Team_Summary!$1:$1,0))</f>
        <v/>
      </c>
      <c r="BN17" s="30">
        <f>IF(COUNTIF(BM$4:BM$23,BM17)&gt;1,"T"&amp;_xlfn.RANK.EQ(BM17,BM$4:BM$23,0),_xlfn.RANK.EQ(BM17,BM$4:BM$23,0))</f>
        <v/>
      </c>
      <c r="BO17">
        <f>INDEX(Team_Summary!$A$1:$JF$21,MATCH(_xlfn.XLOOKUP($B17,Helpers!$C$4:$C$26,Helpers!$B$4:$B$26,"",0),Team_Summary!$A:$A,0),MATCH("Team_Goalkeeping_CS%",Team_Summary!$1:$1,0))</f>
        <v/>
      </c>
      <c r="BP17" s="30">
        <f>IF(COUNTIF(BO$4:BO$23,BO17)&gt;1,"T"&amp;_xlfn.RANK.EQ(BO17,BO$4:BO$23,0),_xlfn.RANK.EQ(BO17,BO$4:BO$23,0))</f>
        <v/>
      </c>
      <c r="BQ17">
        <f>INDEX(Team_Summary!$A$1:$JF$21,MATCH(_xlfn.XLOOKUP($B17,Helpers!$C$4:$C$26,Helpers!$B$4:$B$26,"",0),Team_Summary!$A:$A,0),MATCH("Team_Goalkeeping_Save%.1",Team_Summary!$1:$1,0))</f>
        <v/>
      </c>
      <c r="BR17" s="30">
        <f>IF(COUNTIF(BQ$4:BQ$23,BQ17)&gt;1,"T"&amp;_xlfn.RANK.EQ(BQ17,BQ$4:BQ$23,0),_xlfn.RANK.EQ(BQ17,BQ$4:BQ$23,0))</f>
        <v/>
      </c>
      <c r="BS17">
        <f>INDEX(Team_Summary!$A$1:$JF$21,MATCH(_xlfn.XLOOKUP($B17,Helpers!$C$4:$C$26,Helpers!$B$4:$B$26,"",0),Team_Summary!$A:$A,0),MATCH("Team_Advanced_Goalkeeping_FK",Team_Summary!$1:$1,0))</f>
        <v/>
      </c>
      <c r="BT17" s="30">
        <f>IF(COUNTIF(BS$4:BS$23,BS17)&gt;1,"T"&amp;_xlfn.RANK.EQ(BS17,BS$4:BS$23,1),_xlfn.RANK.EQ(BS17,BS$4:BS$23,1))</f>
        <v/>
      </c>
      <c r="BU17">
        <f>INDEX(Team_Summary!$A$1:$JF$21,MATCH(_xlfn.XLOOKUP($B17,Helpers!$C$4:$C$26,Helpers!$B$4:$B$26,"",0),Team_Summary!$A:$A,0),MATCH("Team_Advanced_Goalkeeping_CK",Team_Summary!$1:$1,0))</f>
        <v/>
      </c>
      <c r="BV17" s="30">
        <f>IF(COUNTIF(BU$4:BU$23,BU17)&gt;1,"T"&amp;_xlfn.RANK.EQ(BU17,BU$4:BU$23,1),_xlfn.RANK.EQ(BU17,BU$4:BU$23,1))</f>
        <v/>
      </c>
      <c r="BW17">
        <f>INDEX(Team_Summary!$A$1:$JF$21,MATCH(_xlfn.XLOOKUP($B17,Helpers!$C$4:$C$26,Helpers!$B$4:$B$26,"",0),Team_Summary!$A:$A,0),MATCH("Team_Advanced_Goalkeeping_Stp%",Team_Summary!$1:$1,0))</f>
        <v/>
      </c>
      <c r="BX17" s="30">
        <f>IF(COUNTIF(BW$4:BW$23,BW17)&gt;1,"T"&amp;_xlfn.RANK.EQ(BW17,BW$4:BW$23,0),_xlfn.RANK.EQ(BW17,BW$4:BW$23,0))</f>
        <v/>
      </c>
      <c r="BY17">
        <f>INDEX(Team_Summary!$A$1:$JF$21,MATCH(_xlfn.XLOOKUP($B17,Helpers!$C$4:$C$26,Helpers!$B$4:$B$26,"",0),Team_Summary!$A:$A,0),MATCH("Team_Shooting_G/SoT",Team_Summary!$1:$1,0))</f>
        <v/>
      </c>
      <c r="BZ17" s="30">
        <f>IF(COUNTIF(BY$4:BY$23,BY17)&gt;1,"T"&amp;_xlfn.RANK.EQ(BY17,BY$4:BY$23,0),_xlfn.RANK.EQ(BY17,BY$4:BY$23,0))</f>
        <v/>
      </c>
      <c r="CA17">
        <f>INDEX(Team_Summary!$A$1:$JF$21,MATCH(_xlfn.XLOOKUP($B17,Helpers!$C$4:$C$26,Helpers!$B$4:$B$26,"",0),Team_Summary!$A:$A,0),MATCH("Team_Shooting_G/Sh",Team_Summary!$1:$1,0))</f>
        <v/>
      </c>
      <c r="CB17" s="30">
        <f>IF(COUNTIF(CA$4:CA$23,CA17)&gt;1,"T"&amp;_xlfn.RANK.EQ(CA17,CA$4:CA$23,0),_xlfn.RANK.EQ(CA17,CA$4:CA$23,0))</f>
        <v/>
      </c>
      <c r="CC17">
        <f>INDEX(Team_Summary!$A$1:$JF$21,MATCH(_xlfn.XLOOKUP($B17,Helpers!$C$4:$C$26,Helpers!$B$4:$B$26,"",0),Team_Summary!$A:$A,0),MATCH("Team_Shooting_SoT",Team_Summary!$1:$1,0))/INDEX(Team_Summary!$A$1:$JF$21,MATCH(_xlfn.XLOOKUP($B17,Helpers!$C$4:$C$26,Helpers!$B$4:$B$26,"",0),Team_Summary!$A:$A,0),MATCH("Team_League Table_Overall_MP",Team_Summary!$1:$1,0))</f>
        <v/>
      </c>
      <c r="CD17" s="30">
        <f>IF(COUNTIF(CC$4:CC$23,CC17)&gt;1,"T"&amp;_xlfn.RANK.EQ(CC17,CC$4:CC$23,0),_xlfn.RANK.EQ(CC17,CC$4:CC$23,0))</f>
        <v/>
      </c>
      <c r="CE17">
        <f>INDEX(Team_Summary!$A$1:$JF$21,MATCH(_xlfn.XLOOKUP($B17,Helpers!$C$4:$C$26,Helpers!$B$4:$B$26,"",0),Team_Summary!$A:$A,0),MATCH("Team_Shooting_SoT%",Team_Summary!$1:$1,0))</f>
        <v/>
      </c>
      <c r="CF17" s="30">
        <f>IF(COUNTIF(CE$4:CE$23,CE17)&gt;1,"T"&amp;_xlfn.RANK.EQ(CE17,CE$4:CE$23,0),_xlfn.RANK.EQ(CE17,CE$4:CE$23,0))</f>
        <v/>
      </c>
      <c r="CG17">
        <f>INDEX(Team_Summary!$A$1:$JF$21,MATCH(_xlfn.XLOOKUP($B17,Helpers!$C$4:$C$26,Helpers!$B$4:$B$26,"",0),Team_Summary!$A:$A,0),MATCH("Team_Pass_Types_CK",Team_Summary!$1:$1,0))/INDEX(Team_Summary!$A$1:$JF$21,MATCH(_xlfn.XLOOKUP($B17,Helpers!$C$4:$C$26,Helpers!$B$4:$B$26,"",0),Team_Summary!$A:$A,0),MATCH("Team_League Table_Overall_MP",Team_Summary!$1:$1,0))</f>
        <v/>
      </c>
      <c r="CH17" s="30">
        <f>IF(COUNTIF(CG$4:CG$23,CG17)&gt;1,"T"&amp;_xlfn.RANK.EQ(CG17,CG$4:CG$23,0),_xlfn.RANK.EQ(CG17,CG$4:CG$23,0))</f>
        <v/>
      </c>
      <c r="CI17">
        <f>INDEX(Team_Summary!$A$1:$JF$21,MATCH(_xlfn.XLOOKUP($B17,Helpers!$C$4:$C$26,Helpers!$B$4:$B$26,"",0),Team_Summary!$A:$A,0),MATCH("Team_Miscellaneous_Stats_TklW",Team_Summary!$1:$1,0))/INDEX(Team_Summary!$A$1:$JF$21,MATCH(_xlfn.XLOOKUP($B17,Helpers!$C$4:$C$26,Helpers!$B$4:$B$26,"",0),Team_Summary!$A:$A,0),MATCH("Team_League Table_Overall_MP",Team_Summary!$1:$1,0))</f>
        <v/>
      </c>
      <c r="CJ17" s="30">
        <f>IF(COUNTIF(CI$4:CI$23,CI17)&gt;1,"T"&amp;_xlfn.RANK.EQ(CI17,CI$4:CI$23,0),_xlfn.RANK.EQ(CI17,CI$4:CI$23,0))</f>
        <v/>
      </c>
      <c r="CK17">
        <f>INDEX(Team_Summary!$A$1:$JF$21,MATCH(_xlfn.XLOOKUP($B17,Helpers!$C$4:$C$26,Helpers!$B$4:$B$26,"",0),Team_Summary!$A:$A,0),MATCH("Team_Defensive_Actions_Sh",Team_Summary!$1:$1,0))/INDEX(Team_Summary!$A$1:$JF$21,MATCH(_xlfn.XLOOKUP($B17,Helpers!$C$4:$C$26,Helpers!$B$4:$B$26,"",0),Team_Summary!$A:$A,0),MATCH("Team_League Table_Overall_MP",Team_Summary!$1:$1,0))</f>
        <v/>
      </c>
      <c r="CL17" s="30">
        <f>IF(COUNTIF(CK$4:CK$23,CK17)&gt;1,"T"&amp;_xlfn.RANK.EQ(CK17,CK$4:CK$23,0),_xlfn.RANK.EQ(CK17,CK$4:CK$23,0))</f>
        <v/>
      </c>
      <c r="CM17">
        <f>INDEX(Team_Summary!$A$1:$JF$21,MATCH(_xlfn.XLOOKUP($B17,Helpers!$C$4:$C$26,Helpers!$B$4:$B$26,"",0),Team_Summary!$A:$A,0),MATCH("Team_Defensive_Actions_Int",Team_Summary!$1:$1,0))/INDEX(Team_Summary!$A$1:$JF$21,MATCH(_xlfn.XLOOKUP($B17,Helpers!$C$4:$C$26,Helpers!$B$4:$B$26,"",0),Team_Summary!$A:$A,0),MATCH("Team_League Table_Overall_MP",Team_Summary!$1:$1,0))</f>
        <v/>
      </c>
      <c r="CN17" s="30">
        <f>IF(COUNTIF(CM$4:CM$23,CM17)&gt;1,"T"&amp;_xlfn.RANK.EQ(CM17,CM$4:CM$23,0),_xlfn.RANK.EQ(CM17,CM$4:CM$23,0))</f>
        <v/>
      </c>
      <c r="CO17">
        <f>INDEX(Team_Summary!$A$1:$JF$21,MATCH(_xlfn.XLOOKUP($B17,Helpers!$C$4:$C$26,Helpers!$B$4:$B$26,"",0),Team_Summary!$A:$A,0),MATCH("Team_Possession_Poss",Team_Summary!$1:$1,0))</f>
        <v/>
      </c>
      <c r="CP17" s="30">
        <f>IF(COUNTIF(CO$4:CO$23,CO17)&gt;1,"T"&amp;_xlfn.RANK.EQ(CO17,CO$4:CO$23,0),_xlfn.RANK.EQ(CO17,CO$4:CO$23,0))</f>
        <v/>
      </c>
      <c r="CQ17">
        <f>INDEX(Team_Summary!$A$1:$JF$21,MATCH(_xlfn.XLOOKUP($B17,Helpers!$C$4:$C$26,Helpers!$B$4:$B$26,"",0),Team_Summary!$A:$A,0),MATCH("Team_Possession_Def Pen",Team_Summary!$1:$1,0))/INDEX(Team_Summary!$A$1:$JF$21,MATCH(_xlfn.XLOOKUP($B17,Helpers!$C$4:$C$26,Helpers!$B$4:$B$26,"",0),Team_Summary!$A:$A,0),MATCH("Team_League Table_Overall_MP",Team_Summary!$1:$1,0))</f>
        <v/>
      </c>
      <c r="CR17" s="30">
        <f>IF(COUNTIF(CQ$4:CQ$23,CQ17)&gt;1,"T"&amp;_xlfn.RANK.EQ(CQ17,CQ$4:CQ$23,0),_xlfn.RANK.EQ(CQ17,CQ$4:CQ$23,0))</f>
        <v/>
      </c>
      <c r="CS17">
        <f>INDEX(Team_Summary!$A$1:$JF$21,MATCH(_xlfn.XLOOKUP($B17,Helpers!$C$4:$C$26,Helpers!$B$4:$B$26,"",0),Team_Summary!$A:$A,0),MATCH("Team_Possession_Def 3rd",Team_Summary!$1:$1,0))/INDEX(Team_Summary!$A$1:$JF$21,MATCH(_xlfn.XLOOKUP($B17,Helpers!$C$4:$C$26,Helpers!$B$4:$B$26,"",0),Team_Summary!$A:$A,0),MATCH("Team_League Table_Overall_MP",Team_Summary!$1:$1,0))</f>
        <v/>
      </c>
      <c r="CT17" s="30">
        <f>IF(COUNTIF(CS$4:CS$23,CS17)&gt;1,"T"&amp;_xlfn.RANK.EQ(CS17,CS$4:CS$23,0),_xlfn.RANK.EQ(CS17,CS$4:CS$23,0))</f>
        <v/>
      </c>
      <c r="CU17">
        <f>INDEX(Team_Summary!$A$1:$JF$21,MATCH(_xlfn.XLOOKUP($B17,Helpers!$C$4:$C$26,Helpers!$B$4:$B$26,"",0),Team_Summary!$A:$A,0),MATCH("Team_Possession_Mid 3rd",Team_Summary!$1:$1,0))/INDEX(Team_Summary!$A$1:$JF$21,MATCH(_xlfn.XLOOKUP($B17,Helpers!$C$4:$C$26,Helpers!$B$4:$B$26,"",0),Team_Summary!$A:$A,0),MATCH("Team_League Table_Overall_MP",Team_Summary!$1:$1,0))</f>
        <v/>
      </c>
      <c r="CV17" s="30">
        <f>IF(COUNTIF(CU$4:CU$23,CU17)&gt;1,"T"&amp;_xlfn.RANK.EQ(CU17,CU$4:CU$23,0),_xlfn.RANK.EQ(CU17,CU$4:CU$23,0))</f>
        <v/>
      </c>
      <c r="CW17">
        <f>INDEX(Team_Summary!$A$1:$JF$21,MATCH(_xlfn.XLOOKUP($B17,Helpers!$C$4:$C$26,Helpers!$B$4:$B$26,"",0),Team_Summary!$A:$A,0),MATCH("Team_Possession_Att 3rd",Team_Summary!$1:$1,0))/INDEX(Team_Summary!$A$1:$JF$21,MATCH(_xlfn.XLOOKUP($B17,Helpers!$C$4:$C$26,Helpers!$B$4:$B$26,"",0),Team_Summary!$A:$A,0),MATCH("Team_League Table_Overall_MP",Team_Summary!$1:$1,0))</f>
        <v/>
      </c>
      <c r="CX17" s="30">
        <f>IF(COUNTIF(CW$4:CW$23,CW17)&gt;1,"T"&amp;_xlfn.RANK.EQ(CW17,CW$4:CW$23,0),_xlfn.RANK.EQ(CW17,CW$4:CW$23,0))</f>
        <v/>
      </c>
      <c r="CY17">
        <f>INDEX(Team_Summary!$A$1:$JF$21,MATCH(_xlfn.XLOOKUP($B17,Helpers!$C$4:$C$26,Helpers!$B$4:$B$26,"",0),Team_Summary!$A:$A,0),MATCH("Team_Possession_Att Pen",Team_Summary!$1:$1,0))/INDEX(Team_Summary!$A$1:$JF$21,MATCH(_xlfn.XLOOKUP($B17,Helpers!$C$4:$C$26,Helpers!$B$4:$B$26,"",0),Team_Summary!$A:$A,0),MATCH("Team_League Table_Overall_MP",Team_Summary!$1:$1,0))</f>
        <v/>
      </c>
      <c r="CZ17" s="30">
        <f>IF(COUNTIF(CY$4:CY$23,CY17)&gt;1,"T"&amp;_xlfn.RANK.EQ(CY17,CY$4:CY$23,0),_xlfn.RANK.EQ(CY17,CY$4:CY$23,0))</f>
        <v/>
      </c>
      <c r="DA17">
        <f>INDEX(Team_Summary!$A$1:$JF$21,MATCH(_xlfn.XLOOKUP($B17,Helpers!$C$4:$C$26,Helpers!$B$4:$B$26,"",0),Team_Summary!$A:$A,0),MATCH("Team_Miscellaneous_Stats_Fls",Team_Summary!$1:$1,0))/INDEX(Team_Summary!$A$1:$JF$21,MATCH(_xlfn.XLOOKUP($B17,Helpers!$C$4:$C$26,Helpers!$B$4:$B$26,"",0),Team_Summary!$A:$A,0),MATCH("Team_League Table_Overall_MP",Team_Summary!$1:$1,0))</f>
        <v/>
      </c>
      <c r="DB17" s="30">
        <f>IF(COUNTIF(DA$4:DA$23,DA17)&gt;1,"T"&amp;_xlfn.RANK.EQ(DA17,DA$4:DA$23,1),_xlfn.RANK.EQ(DA17,DA$4:DA$23,1))</f>
        <v/>
      </c>
      <c r="DC17">
        <f>INDEX(Team_Summary!$A$1:$JF$21,MATCH(_xlfn.XLOOKUP($B17,Helpers!$C$4:$C$26,Helpers!$B$4:$B$26,"",0),Team_Summary!$A:$A,0),MATCH("Team_Miscellaneous_Stats_Fld",Team_Summary!$1:$1,0))/INDEX(Team_Summary!$A$1:$JF$21,MATCH(_xlfn.XLOOKUP($B17,Helpers!$C$4:$C$26,Helpers!$B$4:$B$26,"",0),Team_Summary!$A:$A,0),MATCH("Team_League Table_Overall_MP",Team_Summary!$1:$1,0))</f>
        <v/>
      </c>
      <c r="DD17" s="30">
        <f>IF(COUNTIF(DC$4:DC$23,DC17)&gt;1,"T"&amp;_xlfn.RANK.EQ(DC17,DC$4:DC$23,0),_xlfn.RANK.EQ(DC17,DC$4:DC$23,0))</f>
        <v/>
      </c>
      <c r="DE17">
        <f>INDEX(Team_Summary!$A$1:$JF$21,MATCH(_xlfn.XLOOKUP($B17,Helpers!$C$4:$C$26,Helpers!$B$4:$B$26,"",0),Team_Summary!$A:$A,0),MATCH("Team_Miscellaneous_Stats_Won",Team_Summary!$1:$1,0))/INDEX(Team_Summary!$A$1:$JF$21,MATCH(_xlfn.XLOOKUP($B17,Helpers!$C$4:$C$26,Helpers!$B$4:$B$26,"",0),Team_Summary!$A:$A,0),MATCH("Team_League Table_Overall_MP",Team_Summary!$1:$1,0))</f>
        <v/>
      </c>
      <c r="DF17" s="30">
        <f>IF(COUNTIF(DE$4:DE$23,DE17)&gt;1,"T"&amp;_xlfn.RANK.EQ(DE17,DE$4:DE$23,0),_xlfn.RANK.EQ(DE17,DE$4:DE$23,0))</f>
        <v/>
      </c>
      <c r="DG17">
        <f>INDEX(Team_Summary!$A$1:$JF$21,MATCH(_xlfn.XLOOKUP($B17,Helpers!$C$4:$C$26,Helpers!$B$4:$B$26,"",0),Team_Summary!$A:$A,0),MATCH("Team_Miscellaneous_Stats_Pkwon",Team_Summary!$1:$1,0))</f>
        <v/>
      </c>
      <c r="DH17" s="30">
        <f>IF(COUNTIF(DG$4:DG$23,DG17)&gt;1,"T"&amp;_xlfn.RANK.EQ(DG17,DG$4:DG$23,0),_xlfn.RANK.EQ(DG17,DG$4:DG$23,0))</f>
        <v/>
      </c>
      <c r="DI17">
        <f>INDEX(Team_Summary!$A$1:$JF$21,MATCH(_xlfn.XLOOKUP($B17,Helpers!$C$4:$C$26,Helpers!$B$4:$B$26,"",0),Team_Summary!$A:$A,0),MATCH("Team_Miscellaneous_Stats_Pkcon",Team_Summary!$1:$1,0))</f>
        <v/>
      </c>
      <c r="DJ17" s="30">
        <f>IF(COUNTIF(DI$4:DI$23,DI17)&gt;1,"T"&amp;_xlfn.RANK.EQ(DI17,DI$4:DI$23,1),_xlfn.RANK.EQ(DI17,DI$4:DI$23,1))</f>
        <v/>
      </c>
      <c r="DK17">
        <f>INDEX(Team_Summary!$A$1:$JF$21,MATCH(_xlfn.XLOOKUP($B17,Helpers!$C$4:$C$26,Helpers!$B$4:$B$26,"",0),Team_Summary!$A:$A,0),MATCH("Team_Playing_Time_Age",Team_Summary!$1:$1,0))</f>
        <v/>
      </c>
      <c r="DL17" s="30">
        <f>IF(COUNTIF(DK$4:DK$23,DK17)&gt;1,"T"&amp;_xlfn.RANK.EQ(DK17,DK$4:DK$23,1),_xlfn.RANK.EQ(DK17,DK$4:DK$23,1))</f>
        <v/>
      </c>
    </row>
    <row r="18">
      <c r="B18" t="inlineStr">
        <is>
          <t>NEW</t>
        </is>
      </c>
      <c r="C18">
        <f>INDEX(Team_Summary!$A$1:$JF$21,MATCH(_xlfn.XLOOKUP($B18,Helpers!$C$4:$C$26,Helpers!$B$4:$B$26,"",0),Team_Summary!$A:$A,0),MATCH("Team_League Table_Overall_GF",Team_Summary!$1:$1,0))</f>
        <v/>
      </c>
      <c r="D18" s="30">
        <f>IF(COUNTIF(C$4:C$23,C18)&gt;1,"T"&amp;_xlfn.RANK.EQ(C18,C$4:C$23,0),_xlfn.RANK.EQ(C18,C$4:C$23,0))</f>
        <v/>
      </c>
      <c r="E18">
        <f>INDEX(Team_Summary!$A$1:$JF$21,MATCH(_xlfn.XLOOKUP($B18,Helpers!$C$4:$C$26,Helpers!$B$4:$B$26,"",0),Team_Summary!$A:$A,0),MATCH("Team_League Table_Overall_GA",Team_Summary!$1:$1,0))</f>
        <v/>
      </c>
      <c r="F18" s="30">
        <f>IF(COUNTIF(E$4:E$23,E18)&gt;1,"T"&amp;_xlfn.RANK.EQ(E18,E$4:E$23,1),_xlfn.RANK.EQ(E18,E$4:E$23,1))</f>
        <v/>
      </c>
      <c r="G18">
        <f>INDEX(Team_Summary!$A$1:$JF$21,MATCH(_xlfn.XLOOKUP($B18,Helpers!$C$4:$C$26,Helpers!$B$4:$B$26,"",0),Team_Summary!$A:$A,0),MATCH("Team_League Table_Overall_GD",Team_Summary!$1:$1,0))</f>
        <v/>
      </c>
      <c r="H18" s="30">
        <f>IF(COUNTIF(G$4:G$23,G18)&gt;1,"T"&amp;_xlfn.RANK.EQ(G18,G$4:G$23,0),_xlfn.RANK.EQ(G18,G$4:G$23,0))</f>
        <v/>
      </c>
      <c r="I18" s="27">
        <f>G18/INDEX(Team_Summary!$A$1:$JF$21,MATCH(_xlfn.XLOOKUP($B18,Helpers!$C$4:$C$26,Helpers!$B$4:$B$26,"",0),Team_Summary!$A:$A,0),MATCH("Team_League Table_Overall_MP",Team_Summary!$1:$1,0))</f>
        <v/>
      </c>
      <c r="J18" s="30">
        <f>IF(COUNTIF(I$4:I$23,I18)&gt;1,"T"&amp;_xlfn.RANK.EQ(I18,I$4:I$23,0),_xlfn.RANK.EQ(I18,I$4:I$23,0))</f>
        <v/>
      </c>
      <c r="K18">
        <f>INDEX(Team_Summary!$A$1:$JF$21,MATCH(_xlfn.XLOOKUP($B18,Helpers!$C$4:$C$26,Helpers!$B$4:$B$26,"",0),Team_Summary!$A:$A,0),MATCH("Team_League Table_Home_W",Team_Summary!$1:$1,0))</f>
        <v/>
      </c>
      <c r="L18" s="30">
        <f>IF(COUNTIF(K$4:K$23,K18)&gt;1,"T"&amp;_xlfn.RANK.EQ(K18,K$4:K$23,0),_xlfn.RANK.EQ(K18,K$4:K$23,0))</f>
        <v/>
      </c>
      <c r="M18">
        <f>INDEX(Team_Summary!$A$1:$JF$21,MATCH(_xlfn.XLOOKUP($B18,Helpers!$C$4:$C$26,Helpers!$B$4:$B$26,"",0),Team_Summary!$A:$A,0),MATCH("Team_League Table_Away_W",Team_Summary!$1:$1,0))</f>
        <v/>
      </c>
      <c r="N18" s="30">
        <f>IF(COUNTIF(M$4:M$23,M18)&gt;1,"T"&amp;_xlfn.RANK.EQ(M18,M$4:M$23,0),_xlfn.RANK.EQ(M18,M$4:M$23,0))</f>
        <v/>
      </c>
      <c r="O18">
        <f>INDEX(Team_Summary!$A$1:$JF$21,MATCH(_xlfn.XLOOKUP($B18,Helpers!$C$4:$C$26,Helpers!$B$4:$B$26,"",0),Team_Summary!$A:$A,0),MATCH("Team_League Table_Home_D",Team_Summary!$1:$1,0))</f>
        <v/>
      </c>
      <c r="P18" s="30">
        <f>IF(COUNTIF(O$4:O$23,O18)&gt;1,"T"&amp;_xlfn.RANK.EQ(O18,O$4:O$23,1),_xlfn.RANK.EQ(O18,O$4:O$23,1))</f>
        <v/>
      </c>
      <c r="Q18">
        <f>INDEX(Team_Summary!$A$1:$JF$21,MATCH(_xlfn.XLOOKUP($B18,Helpers!$C$4:$C$26,Helpers!$B$4:$B$26,"",0),Team_Summary!$A:$A,0),MATCH("Team_League Table_Away_D",Team_Summary!$1:$1,0))</f>
        <v/>
      </c>
      <c r="R18" s="30">
        <f>IF(COUNTIF(Q$4:Q$23,Q18)&gt;1,"T"&amp;_xlfn.RANK.EQ(Q18,Q$4:Q$23,1),_xlfn.RANK.EQ(Q18,Q$4:Q$23,1))</f>
        <v/>
      </c>
      <c r="S18">
        <f>INDEX(Team_Summary!$A$1:$JF$21,MATCH(_xlfn.XLOOKUP($B18,Helpers!$C$4:$C$26,Helpers!$B$4:$B$26,"",0),Team_Summary!$A:$A,0),MATCH("Team_League Table_Home_L",Team_Summary!$1:$1,0))</f>
        <v/>
      </c>
      <c r="T18" s="30">
        <f>IF(COUNTIF(S$4:S$23,S18)&gt;1,"T"&amp;_xlfn.RANK.EQ(S18,S$4:S$23,1),_xlfn.RANK.EQ(S18,S$4:S$23,1))</f>
        <v/>
      </c>
      <c r="U18">
        <f>INDEX(Team_Summary!$A$1:$JF$21,MATCH(_xlfn.XLOOKUP($B18,Helpers!$C$4:$C$26,Helpers!$B$4:$B$26,"",0),Team_Summary!$A:$A,0),MATCH("Team_League Table_Away_L",Team_Summary!$1:$1,0))</f>
        <v/>
      </c>
      <c r="V18" s="30">
        <f>IF(COUNTIF(U$4:U$23,U18)&gt;1,"T"&amp;_xlfn.RANK.EQ(U18,U$4:U$23,1),_xlfn.RANK.EQ(U18,U$4:U$23,1))</f>
        <v/>
      </c>
      <c r="W18">
        <f>INDEX(Team_Summary!$A$1:$JF$21,MATCH(_xlfn.XLOOKUP($B18,Helpers!$C$4:$C$26,Helpers!$B$4:$B$26,"",0),Team_Summary!$A:$A,0),MATCH("Team_League Table_Home_Pts",Team_Summary!$1:$1,0))</f>
        <v/>
      </c>
      <c r="X18" s="30">
        <f>IF(COUNTIF(W$4:W$23,W18)&gt;1,"T"&amp;_xlfn.RANK.EQ(W18,W$4:W$23,0),_xlfn.RANK.EQ(W18,W$4:W$23,0))</f>
        <v/>
      </c>
      <c r="Y18">
        <f>INDEX(Team_Summary!$A$1:$JF$21,MATCH(_xlfn.XLOOKUP($B18,Helpers!$C$4:$C$26,Helpers!$B$4:$B$26,"",0),Team_Summary!$A:$A,0),MATCH("Team_League Table_Away_Pts",Team_Summary!$1:$1,0))</f>
        <v/>
      </c>
      <c r="Z18" s="30">
        <f>IF(COUNTIF(Y$4:Y$23,Y18)&gt;1,"T"&amp;_xlfn.RANK.EQ(Y18,Y$4:Y$23,0),_xlfn.RANK.EQ(Y18,Y$4:Y$23,0))</f>
        <v/>
      </c>
      <c r="AA18">
        <f>INDEX(Team_Summary!$A$1:$JF$21,MATCH(_xlfn.XLOOKUP($B18,Helpers!$C$4:$C$26,Helpers!$B$4:$B$26,"",0),Team_Summary!$A:$A,0),MATCH("Team_League Table_Home_Pts/MP",Team_Summary!$1:$1,0))</f>
        <v/>
      </c>
      <c r="AB18" s="30">
        <f>IF(COUNTIF(AA$4:AA$23,AA18)&gt;1,"T"&amp;_xlfn.RANK.EQ(AA18,AA$4:AA$23,0),_xlfn.RANK.EQ(AA18,AA$4:AA$23,0))</f>
        <v/>
      </c>
      <c r="AC18">
        <f>INDEX(Team_Summary!$A$1:$JF$21,MATCH(_xlfn.XLOOKUP($B18,Helpers!$C$4:$C$26,Helpers!$B$4:$B$26,"",0),Team_Summary!$A:$A,0),MATCH("Team_League Table_Away_Pts/MP",Team_Summary!$1:$1,0))</f>
        <v/>
      </c>
      <c r="AD18" s="30">
        <f>IF(COUNTIF(AC$4:AC$23,AC18)&gt;1,"T"&amp;_xlfn.RANK.EQ(AC18,AC$4:AC$23,0),_xlfn.RANK.EQ(AC18,AC$4:AC$23,0))</f>
        <v/>
      </c>
      <c r="AE18">
        <f>INDEX(Team_Summary!$A$1:$JF$21,MATCH(_xlfn.XLOOKUP($B18,Helpers!$C$4:$C$26,Helpers!$B$4:$B$26,"",0),Team_Summary!$A:$A,0),MATCH("Team_League Table_Overall_Pts/MP",Team_Summary!$1:$1,0))</f>
        <v/>
      </c>
      <c r="AF18" s="30">
        <f>IF(COUNTIF(AE$4:AE$23,AE18)&gt;1,"T"&amp;_xlfn.RANK.EQ(AE18,AE$4:AE$23,0),_xlfn.RANK.EQ(AE18,AE$4:AE$23,0))</f>
        <v/>
      </c>
      <c r="AG18">
        <f>INDEX(Team_Summary!$A$1:$JF$21,MATCH(_xlfn.XLOOKUP($B18,Helpers!$C$4:$C$26,Helpers!$B$4:$B$26,"",0),Team_Summary!$A:$A,0),MATCH("Team_League Table_Home_GF",Team_Summary!$1:$1,0))</f>
        <v/>
      </c>
      <c r="AH18" s="30">
        <f>IF(COUNTIF(AG$4:AG$23,AG18)&gt;1,"T"&amp;_xlfn.RANK.EQ(AG18,AG$4:AG$23,0),_xlfn.RANK.EQ(AG18,AG$4:AG$23,0))</f>
        <v/>
      </c>
      <c r="AI18">
        <f>INDEX(Team_Summary!$A$1:$JF$21,MATCH(_xlfn.XLOOKUP($B18,Helpers!$C$4:$C$26,Helpers!$B$4:$B$26,"",0),Team_Summary!$A:$A,0),MATCH("Team_League Table_Away_GF",Team_Summary!$1:$1,0))</f>
        <v/>
      </c>
      <c r="AJ18" s="30">
        <f>IF(COUNTIF(AI$4:AI$23,AI18)&gt;1,"T"&amp;_xlfn.RANK.EQ(AI18,AI$4:AI$23,0),_xlfn.RANK.EQ(AI18,AI$4:AI$23,0))</f>
        <v/>
      </c>
      <c r="AK18">
        <f>INDEX(Team_Summary!$A$1:$JF$21,MATCH(_xlfn.XLOOKUP($B18,Helpers!$C$4:$C$26,Helpers!$B$4:$B$26,"",0),Team_Summary!$A:$A,0),MATCH("Team_League Table_Home_GA",Team_Summary!$1:$1,0))</f>
        <v/>
      </c>
      <c r="AL18" s="30">
        <f>IF(COUNTIF(AK$4:AK$23,AK18)&gt;1,"T"&amp;_xlfn.RANK.EQ(AK18,AK$4:AK$23,1),_xlfn.RANK.EQ(AK18,AK$4:AK$23,1))</f>
        <v/>
      </c>
      <c r="AM18">
        <f>INDEX(Team_Summary!$A$1:$JF$21,MATCH(_xlfn.XLOOKUP($B18,Helpers!$C$4:$C$26,Helpers!$B$4:$B$26,"",0),Team_Summary!$A:$A,0),MATCH("Team_League Table_Away_GA",Team_Summary!$1:$1,0))</f>
        <v/>
      </c>
      <c r="AN18" s="30">
        <f>IF(COUNTIF(AM$4:AM$23,AM18)&gt;1,"T"&amp;_xlfn.RANK.EQ(AM18,AM$4:AM$23,1),_xlfn.RANK.EQ(AM18,AM$4:AM$23,1))</f>
        <v/>
      </c>
      <c r="AO18">
        <f>INDEX(Team_Summary!$A$1:$JF$21,MATCH(_xlfn.XLOOKUP($B18,Helpers!$C$4:$C$26,Helpers!$B$4:$B$26,"",0),Team_Summary!$A:$A,0),MATCH("Team_League Table_Home_GD",Team_Summary!$1:$1,0))</f>
        <v/>
      </c>
      <c r="AP18" s="30">
        <f>IF(COUNTIF(AO$4:AO$23,AO18)&gt;1,"T"&amp;_xlfn.RANK.EQ(AO18,AO$4:AO$23,0),_xlfn.RANK.EQ(AO18,AO$4:AO$23,0))</f>
        <v/>
      </c>
      <c r="AQ18">
        <f>INDEX(Team_Summary!$A$1:$JF$21,MATCH(_xlfn.XLOOKUP($B18,Helpers!$C$4:$C$26,Helpers!$B$4:$B$26,"",0),Team_Summary!$A:$A,0),MATCH("Team_League Table_Away_GD",Team_Summary!$1:$1,0))</f>
        <v/>
      </c>
      <c r="AR18" s="30">
        <f>IF(COUNTIF(AQ$4:AQ$23,AQ18)&gt;1,"T"&amp;_xlfn.RANK.EQ(AQ18,AQ$4:AQ$23,0),_xlfn.RANK.EQ(AQ18,AQ$4:AQ$23,0))</f>
        <v/>
      </c>
      <c r="AS18">
        <f>INDEX(Team_Summary!$A$1:$JF$21,MATCH(_xlfn.XLOOKUP($B18,Helpers!$C$4:$C$26,Helpers!$B$4:$B$26,"",0),Team_Summary!$A:$A,0),MATCH("Team_Standard_Stats_Gls",Team_Summary!$1:$1,0))</f>
        <v/>
      </c>
      <c r="AT18" s="30">
        <f>IF(COUNTIF(AS$4:AS$23,AS18)&gt;1,"T"&amp;_xlfn.RANK.EQ(AS18,AS$4:AS$23,0),_xlfn.RANK.EQ(AS18,AS$4:AS$23,0))</f>
        <v/>
      </c>
      <c r="AU18" s="27">
        <f>C18/INDEX(Team_Summary!$A$1:$JF$21,MATCH(_xlfn.XLOOKUP($B18,Helpers!$C$4:$C$26,Helpers!$B$4:$B$26,"",0),Team_Summary!$A:$A,0),MATCH("Team_League Table_Overall_MP",Team_Summary!$1:$1,0))</f>
        <v/>
      </c>
      <c r="AV18" s="30">
        <f>IF(COUNTIF(AU$4:AU$23,AU18)&gt;1,"T"&amp;_xlfn.RANK.EQ(AU18,AU$4:AU$23,0),_xlfn.RANK.EQ(AU18,AU$4:AU$23,0))</f>
        <v/>
      </c>
      <c r="AW18">
        <f>INDEX(Team_Summary!$A$1:$JF$21,MATCH(_xlfn.XLOOKUP($B18,Helpers!$C$4:$C$26,Helpers!$B$4:$B$26,"",0),Team_Summary!$A:$A,0),MATCH("Team_Standard_Stats_G-PK",Team_Summary!$1:$1,0))</f>
        <v/>
      </c>
      <c r="AX18" s="30">
        <f>IF(COUNTIF(AW$4:AW$23,AW18)&gt;1,"T"&amp;_xlfn.RANK.EQ(AW18,AW$4:AW$23,0),_xlfn.RANK.EQ(AW18,AW$4:AW$23,0))</f>
        <v/>
      </c>
      <c r="AY18">
        <f>INDEX(Team_Summary!$A$1:$JF$21,MATCH(_xlfn.XLOOKUP($B18,Helpers!$C$4:$C$26,Helpers!$B$4:$B$26,"",0),Team_Summary!$A:$A,0),MATCH("Team_Standard_Stats_PK",Team_Summary!$1:$1,0))</f>
        <v/>
      </c>
      <c r="AZ18" s="30">
        <f>IF(COUNTIF(AY$4:AY$23,AY18)&gt;1,"T"&amp;_xlfn.RANK.EQ(AY18,AY$4:AY$23,0),_xlfn.RANK.EQ(AY18,AY$4:AY$23,0))</f>
        <v/>
      </c>
      <c r="BA18">
        <f>INDEX(Team_Summary!$A$1:$JF$21,MATCH(_xlfn.XLOOKUP($B18,Helpers!$C$4:$C$26,Helpers!$B$4:$B$26,"",0),Team_Summary!$A:$A,0),MATCH("Team_Standard_Stats_Ast.1",Team_Summary!$1:$1,0))</f>
        <v/>
      </c>
      <c r="BB18" s="30">
        <f>IF(COUNTIF(BA$4:BA$23,BA18)&gt;1,"T"&amp;_xlfn.RANK.EQ(BA18,BA$4:BA$23,0),_xlfn.RANK.EQ(BA18,BA$4:BA$23,0))</f>
        <v/>
      </c>
      <c r="BC18">
        <f>INDEX(Team_Summary!$A$1:$JF$21,MATCH(_xlfn.XLOOKUP($B18,Helpers!$C$4:$C$26,Helpers!$B$4:$B$26,"",0),Team_Summary!$A:$A,0),MATCH("Team_Standard_Stats_Ast",Team_Summary!$1:$1,0))</f>
        <v/>
      </c>
      <c r="BD18" s="30">
        <f>IF(COUNTIF(BC$4:BC$23,BC18)&gt;1,"T"&amp;_xlfn.RANK.EQ(BC18,BC$4:BC$23,0),_xlfn.RANK.EQ(BC18,BC$4:BC$23,0))</f>
        <v/>
      </c>
      <c r="BE18">
        <f>INDEX(Team_Summary!$A$1:$JF$21,MATCH(_xlfn.XLOOKUP($B18,Helpers!$C$4:$C$26,Helpers!$B$4:$B$26,"",0),Team_Summary!$A:$A,0),MATCH("Team_Miscellaneous_Stats_CrdY",Team_Summary!$1:$1,0))</f>
        <v/>
      </c>
      <c r="BF18" s="30">
        <f>IF(COUNTIF(BE$4:BE$23,BE18)&gt;1,"T"&amp;_xlfn.RANK.EQ(BE18,BE$4:BE$23,1),_xlfn.RANK.EQ(BE18,BE$4:BE$23,1))</f>
        <v/>
      </c>
      <c r="BG18" s="35">
        <f>BE18/INDEX(Team_Summary!$A$1:$JF$21,MATCH(_xlfn.XLOOKUP($B18,Helpers!$C$4:$C$26,Helpers!$B$4:$B$26,"",0),Team_Summary!$A:$A,0),MATCH("Team_League Table_Overall_MP",Team_Summary!$1:$1,0))</f>
        <v/>
      </c>
      <c r="BH18" s="30">
        <f>IF(COUNTIF(BG$4:BG$23,BG18)&gt;1,"T"&amp;_xlfn.RANK.EQ(BG18,BG$4:BG$23,1),_xlfn.RANK.EQ(BG18,BG$4:BG$23,1))</f>
        <v/>
      </c>
      <c r="BI18">
        <f>INDEX(Team_Summary!$A$1:$JF$21,MATCH(_xlfn.XLOOKUP($B18,Helpers!$C$4:$C$26,Helpers!$B$4:$B$26,"",0),Team_Summary!$A:$A,0),MATCH("Team_Miscellaneous_Stats_CrdR",Team_Summary!$1:$1,0))/INDEX(Team_Summary!$A$1:$JF$21,MATCH(_xlfn.XLOOKUP($B18,Helpers!$C$4:$C$26,Helpers!$B$4:$B$26,"",0),Team_Summary!$A:$A,0),MATCH("Team_League Table_Overall_MP",Team_Summary!$1:$1,0))</f>
        <v/>
      </c>
      <c r="BJ18" s="30">
        <f>IF(COUNTIF(BI$4:BI$23,BI18)&gt;1,"T"&amp;_xlfn.RANK.EQ(BI18,BI$4:BI$23,1),_xlfn.RANK.EQ(BI18,BI$4:BI$23,1))</f>
        <v/>
      </c>
      <c r="BK18">
        <f>INDEX(Team_Summary!$A$1:$JF$21,MATCH(_xlfn.XLOOKUP($B18,Helpers!$C$4:$C$26,Helpers!$B$4:$B$26,"",0),Team_Summary!$A:$A,0),MATCH("Team_Goalkeeping_SoTA",Team_Summary!$1:$1,0))/INDEX(Team_Summary!$A$1:$JF$21,MATCH(_xlfn.XLOOKUP($B18,Helpers!$C$4:$C$26,Helpers!$B$4:$B$26,"",0),Team_Summary!$A:$A,0),MATCH("Team_League Table_Overall_MP",Team_Summary!$1:$1,0))</f>
        <v/>
      </c>
      <c r="BL18" s="30">
        <f>IF(COUNTIF(BK$4:BK$23,BK18)&gt;1,"T"&amp;_xlfn.RANK.EQ(BK18,BK$4:BK$23,1),_xlfn.RANK.EQ(BK18,BK$4:BK$23,1))</f>
        <v/>
      </c>
      <c r="BM18">
        <f>INDEX(Team_Summary!$A$1:$JF$21,MATCH(_xlfn.XLOOKUP($B18,Helpers!$C$4:$C$26,Helpers!$B$4:$B$26,"",0),Team_Summary!$A:$A,0),MATCH("Team_Goalkeeping_Save%",Team_Summary!$1:$1,0))</f>
        <v/>
      </c>
      <c r="BN18" s="30">
        <f>IF(COUNTIF(BM$4:BM$23,BM18)&gt;1,"T"&amp;_xlfn.RANK.EQ(BM18,BM$4:BM$23,0),_xlfn.RANK.EQ(BM18,BM$4:BM$23,0))</f>
        <v/>
      </c>
      <c r="BO18">
        <f>INDEX(Team_Summary!$A$1:$JF$21,MATCH(_xlfn.XLOOKUP($B18,Helpers!$C$4:$C$26,Helpers!$B$4:$B$26,"",0),Team_Summary!$A:$A,0),MATCH("Team_Goalkeeping_CS%",Team_Summary!$1:$1,0))</f>
        <v/>
      </c>
      <c r="BP18" s="30">
        <f>IF(COUNTIF(BO$4:BO$23,BO18)&gt;1,"T"&amp;_xlfn.RANK.EQ(BO18,BO$4:BO$23,0),_xlfn.RANK.EQ(BO18,BO$4:BO$23,0))</f>
        <v/>
      </c>
      <c r="BQ18">
        <f>INDEX(Team_Summary!$A$1:$JF$21,MATCH(_xlfn.XLOOKUP($B18,Helpers!$C$4:$C$26,Helpers!$B$4:$B$26,"",0),Team_Summary!$A:$A,0),MATCH("Team_Goalkeeping_Save%.1",Team_Summary!$1:$1,0))</f>
        <v/>
      </c>
      <c r="BR18" s="30">
        <f>IF(COUNTIF(BQ$4:BQ$23,BQ18)&gt;1,"T"&amp;_xlfn.RANK.EQ(BQ18,BQ$4:BQ$23,0),_xlfn.RANK.EQ(BQ18,BQ$4:BQ$23,0))</f>
        <v/>
      </c>
      <c r="BS18">
        <f>INDEX(Team_Summary!$A$1:$JF$21,MATCH(_xlfn.XLOOKUP($B18,Helpers!$C$4:$C$26,Helpers!$B$4:$B$26,"",0),Team_Summary!$A:$A,0),MATCH("Team_Advanced_Goalkeeping_FK",Team_Summary!$1:$1,0))</f>
        <v/>
      </c>
      <c r="BT18" s="30">
        <f>IF(COUNTIF(BS$4:BS$23,BS18)&gt;1,"T"&amp;_xlfn.RANK.EQ(BS18,BS$4:BS$23,1),_xlfn.RANK.EQ(BS18,BS$4:BS$23,1))</f>
        <v/>
      </c>
      <c r="BU18">
        <f>INDEX(Team_Summary!$A$1:$JF$21,MATCH(_xlfn.XLOOKUP($B18,Helpers!$C$4:$C$26,Helpers!$B$4:$B$26,"",0),Team_Summary!$A:$A,0),MATCH("Team_Advanced_Goalkeeping_CK",Team_Summary!$1:$1,0))</f>
        <v/>
      </c>
      <c r="BV18" s="30">
        <f>IF(COUNTIF(BU$4:BU$23,BU18)&gt;1,"T"&amp;_xlfn.RANK.EQ(BU18,BU$4:BU$23,1),_xlfn.RANK.EQ(BU18,BU$4:BU$23,1))</f>
        <v/>
      </c>
      <c r="BW18">
        <f>INDEX(Team_Summary!$A$1:$JF$21,MATCH(_xlfn.XLOOKUP($B18,Helpers!$C$4:$C$26,Helpers!$B$4:$B$26,"",0),Team_Summary!$A:$A,0),MATCH("Team_Advanced_Goalkeeping_Stp%",Team_Summary!$1:$1,0))</f>
        <v/>
      </c>
      <c r="BX18" s="30">
        <f>IF(COUNTIF(BW$4:BW$23,BW18)&gt;1,"T"&amp;_xlfn.RANK.EQ(BW18,BW$4:BW$23,0),_xlfn.RANK.EQ(BW18,BW$4:BW$23,0))</f>
        <v/>
      </c>
      <c r="BY18">
        <f>INDEX(Team_Summary!$A$1:$JF$21,MATCH(_xlfn.XLOOKUP($B18,Helpers!$C$4:$C$26,Helpers!$B$4:$B$26,"",0),Team_Summary!$A:$A,0),MATCH("Team_Shooting_G/SoT",Team_Summary!$1:$1,0))</f>
        <v/>
      </c>
      <c r="BZ18" s="30">
        <f>IF(COUNTIF(BY$4:BY$23,BY18)&gt;1,"T"&amp;_xlfn.RANK.EQ(BY18,BY$4:BY$23,0),_xlfn.RANK.EQ(BY18,BY$4:BY$23,0))</f>
        <v/>
      </c>
      <c r="CA18">
        <f>INDEX(Team_Summary!$A$1:$JF$21,MATCH(_xlfn.XLOOKUP($B18,Helpers!$C$4:$C$26,Helpers!$B$4:$B$26,"",0),Team_Summary!$A:$A,0),MATCH("Team_Shooting_G/Sh",Team_Summary!$1:$1,0))</f>
        <v/>
      </c>
      <c r="CB18" s="30">
        <f>IF(COUNTIF(CA$4:CA$23,CA18)&gt;1,"T"&amp;_xlfn.RANK.EQ(CA18,CA$4:CA$23,0),_xlfn.RANK.EQ(CA18,CA$4:CA$23,0))</f>
        <v/>
      </c>
      <c r="CC18">
        <f>INDEX(Team_Summary!$A$1:$JF$21,MATCH(_xlfn.XLOOKUP($B18,Helpers!$C$4:$C$26,Helpers!$B$4:$B$26,"",0),Team_Summary!$A:$A,0),MATCH("Team_Shooting_SoT",Team_Summary!$1:$1,0))/INDEX(Team_Summary!$A$1:$JF$21,MATCH(_xlfn.XLOOKUP($B18,Helpers!$C$4:$C$26,Helpers!$B$4:$B$26,"",0),Team_Summary!$A:$A,0),MATCH("Team_League Table_Overall_MP",Team_Summary!$1:$1,0))</f>
        <v/>
      </c>
      <c r="CD18" s="30">
        <f>IF(COUNTIF(CC$4:CC$23,CC18)&gt;1,"T"&amp;_xlfn.RANK.EQ(CC18,CC$4:CC$23,0),_xlfn.RANK.EQ(CC18,CC$4:CC$23,0))</f>
        <v/>
      </c>
      <c r="CE18">
        <f>INDEX(Team_Summary!$A$1:$JF$21,MATCH(_xlfn.XLOOKUP($B18,Helpers!$C$4:$C$26,Helpers!$B$4:$B$26,"",0),Team_Summary!$A:$A,0),MATCH("Team_Shooting_SoT%",Team_Summary!$1:$1,0))</f>
        <v/>
      </c>
      <c r="CF18" s="30">
        <f>IF(COUNTIF(CE$4:CE$23,CE18)&gt;1,"T"&amp;_xlfn.RANK.EQ(CE18,CE$4:CE$23,0),_xlfn.RANK.EQ(CE18,CE$4:CE$23,0))</f>
        <v/>
      </c>
      <c r="CG18">
        <f>INDEX(Team_Summary!$A$1:$JF$21,MATCH(_xlfn.XLOOKUP($B18,Helpers!$C$4:$C$26,Helpers!$B$4:$B$26,"",0),Team_Summary!$A:$A,0),MATCH("Team_Pass_Types_CK",Team_Summary!$1:$1,0))/INDEX(Team_Summary!$A$1:$JF$21,MATCH(_xlfn.XLOOKUP($B18,Helpers!$C$4:$C$26,Helpers!$B$4:$B$26,"",0),Team_Summary!$A:$A,0),MATCH("Team_League Table_Overall_MP",Team_Summary!$1:$1,0))</f>
        <v/>
      </c>
      <c r="CH18" s="30">
        <f>IF(COUNTIF(CG$4:CG$23,CG18)&gt;1,"T"&amp;_xlfn.RANK.EQ(CG18,CG$4:CG$23,0),_xlfn.RANK.EQ(CG18,CG$4:CG$23,0))</f>
        <v/>
      </c>
      <c r="CI18">
        <f>INDEX(Team_Summary!$A$1:$JF$21,MATCH(_xlfn.XLOOKUP($B18,Helpers!$C$4:$C$26,Helpers!$B$4:$B$26,"",0),Team_Summary!$A:$A,0),MATCH("Team_Miscellaneous_Stats_TklW",Team_Summary!$1:$1,0))/INDEX(Team_Summary!$A$1:$JF$21,MATCH(_xlfn.XLOOKUP($B18,Helpers!$C$4:$C$26,Helpers!$B$4:$B$26,"",0),Team_Summary!$A:$A,0),MATCH("Team_League Table_Overall_MP",Team_Summary!$1:$1,0))</f>
        <v/>
      </c>
      <c r="CJ18" s="30">
        <f>IF(COUNTIF(CI$4:CI$23,CI18)&gt;1,"T"&amp;_xlfn.RANK.EQ(CI18,CI$4:CI$23,0),_xlfn.RANK.EQ(CI18,CI$4:CI$23,0))</f>
        <v/>
      </c>
      <c r="CK18">
        <f>INDEX(Team_Summary!$A$1:$JF$21,MATCH(_xlfn.XLOOKUP($B18,Helpers!$C$4:$C$26,Helpers!$B$4:$B$26,"",0),Team_Summary!$A:$A,0),MATCH("Team_Defensive_Actions_Sh",Team_Summary!$1:$1,0))/INDEX(Team_Summary!$A$1:$JF$21,MATCH(_xlfn.XLOOKUP($B18,Helpers!$C$4:$C$26,Helpers!$B$4:$B$26,"",0),Team_Summary!$A:$A,0),MATCH("Team_League Table_Overall_MP",Team_Summary!$1:$1,0))</f>
        <v/>
      </c>
      <c r="CL18" s="30">
        <f>IF(COUNTIF(CK$4:CK$23,CK18)&gt;1,"T"&amp;_xlfn.RANK.EQ(CK18,CK$4:CK$23,0),_xlfn.RANK.EQ(CK18,CK$4:CK$23,0))</f>
        <v/>
      </c>
      <c r="CM18">
        <f>INDEX(Team_Summary!$A$1:$JF$21,MATCH(_xlfn.XLOOKUP($B18,Helpers!$C$4:$C$26,Helpers!$B$4:$B$26,"",0),Team_Summary!$A:$A,0),MATCH("Team_Defensive_Actions_Int",Team_Summary!$1:$1,0))/INDEX(Team_Summary!$A$1:$JF$21,MATCH(_xlfn.XLOOKUP($B18,Helpers!$C$4:$C$26,Helpers!$B$4:$B$26,"",0),Team_Summary!$A:$A,0),MATCH("Team_League Table_Overall_MP",Team_Summary!$1:$1,0))</f>
        <v/>
      </c>
      <c r="CN18" s="30">
        <f>IF(COUNTIF(CM$4:CM$23,CM18)&gt;1,"T"&amp;_xlfn.RANK.EQ(CM18,CM$4:CM$23,0),_xlfn.RANK.EQ(CM18,CM$4:CM$23,0))</f>
        <v/>
      </c>
      <c r="CO18">
        <f>INDEX(Team_Summary!$A$1:$JF$21,MATCH(_xlfn.XLOOKUP($B18,Helpers!$C$4:$C$26,Helpers!$B$4:$B$26,"",0),Team_Summary!$A:$A,0),MATCH("Team_Possession_Poss",Team_Summary!$1:$1,0))</f>
        <v/>
      </c>
      <c r="CP18" s="30">
        <f>IF(COUNTIF(CO$4:CO$23,CO18)&gt;1,"T"&amp;_xlfn.RANK.EQ(CO18,CO$4:CO$23,0),_xlfn.RANK.EQ(CO18,CO$4:CO$23,0))</f>
        <v/>
      </c>
      <c r="CQ18">
        <f>INDEX(Team_Summary!$A$1:$JF$21,MATCH(_xlfn.XLOOKUP($B18,Helpers!$C$4:$C$26,Helpers!$B$4:$B$26,"",0),Team_Summary!$A:$A,0),MATCH("Team_Possession_Def Pen",Team_Summary!$1:$1,0))/INDEX(Team_Summary!$A$1:$JF$21,MATCH(_xlfn.XLOOKUP($B18,Helpers!$C$4:$C$26,Helpers!$B$4:$B$26,"",0),Team_Summary!$A:$A,0),MATCH("Team_League Table_Overall_MP",Team_Summary!$1:$1,0))</f>
        <v/>
      </c>
      <c r="CR18" s="30">
        <f>IF(COUNTIF(CQ$4:CQ$23,CQ18)&gt;1,"T"&amp;_xlfn.RANK.EQ(CQ18,CQ$4:CQ$23,0),_xlfn.RANK.EQ(CQ18,CQ$4:CQ$23,0))</f>
        <v/>
      </c>
      <c r="CS18">
        <f>INDEX(Team_Summary!$A$1:$JF$21,MATCH(_xlfn.XLOOKUP($B18,Helpers!$C$4:$C$26,Helpers!$B$4:$B$26,"",0),Team_Summary!$A:$A,0),MATCH("Team_Possession_Def 3rd",Team_Summary!$1:$1,0))/INDEX(Team_Summary!$A$1:$JF$21,MATCH(_xlfn.XLOOKUP($B18,Helpers!$C$4:$C$26,Helpers!$B$4:$B$26,"",0),Team_Summary!$A:$A,0),MATCH("Team_League Table_Overall_MP",Team_Summary!$1:$1,0))</f>
        <v/>
      </c>
      <c r="CT18" s="30">
        <f>IF(COUNTIF(CS$4:CS$23,CS18)&gt;1,"T"&amp;_xlfn.RANK.EQ(CS18,CS$4:CS$23,0),_xlfn.RANK.EQ(CS18,CS$4:CS$23,0))</f>
        <v/>
      </c>
      <c r="CU18">
        <f>INDEX(Team_Summary!$A$1:$JF$21,MATCH(_xlfn.XLOOKUP($B18,Helpers!$C$4:$C$26,Helpers!$B$4:$B$26,"",0),Team_Summary!$A:$A,0),MATCH("Team_Possession_Mid 3rd",Team_Summary!$1:$1,0))/INDEX(Team_Summary!$A$1:$JF$21,MATCH(_xlfn.XLOOKUP($B18,Helpers!$C$4:$C$26,Helpers!$B$4:$B$26,"",0),Team_Summary!$A:$A,0),MATCH("Team_League Table_Overall_MP",Team_Summary!$1:$1,0))</f>
        <v/>
      </c>
      <c r="CV18" s="30">
        <f>IF(COUNTIF(CU$4:CU$23,CU18)&gt;1,"T"&amp;_xlfn.RANK.EQ(CU18,CU$4:CU$23,0),_xlfn.RANK.EQ(CU18,CU$4:CU$23,0))</f>
        <v/>
      </c>
      <c r="CW18">
        <f>INDEX(Team_Summary!$A$1:$JF$21,MATCH(_xlfn.XLOOKUP($B18,Helpers!$C$4:$C$26,Helpers!$B$4:$B$26,"",0),Team_Summary!$A:$A,0),MATCH("Team_Possession_Att 3rd",Team_Summary!$1:$1,0))/INDEX(Team_Summary!$A$1:$JF$21,MATCH(_xlfn.XLOOKUP($B18,Helpers!$C$4:$C$26,Helpers!$B$4:$B$26,"",0),Team_Summary!$A:$A,0),MATCH("Team_League Table_Overall_MP",Team_Summary!$1:$1,0))</f>
        <v/>
      </c>
      <c r="CX18" s="30">
        <f>IF(COUNTIF(CW$4:CW$23,CW18)&gt;1,"T"&amp;_xlfn.RANK.EQ(CW18,CW$4:CW$23,0),_xlfn.RANK.EQ(CW18,CW$4:CW$23,0))</f>
        <v/>
      </c>
      <c r="CY18">
        <f>INDEX(Team_Summary!$A$1:$JF$21,MATCH(_xlfn.XLOOKUP($B18,Helpers!$C$4:$C$26,Helpers!$B$4:$B$26,"",0),Team_Summary!$A:$A,0),MATCH("Team_Possession_Att Pen",Team_Summary!$1:$1,0))/INDEX(Team_Summary!$A$1:$JF$21,MATCH(_xlfn.XLOOKUP($B18,Helpers!$C$4:$C$26,Helpers!$B$4:$B$26,"",0),Team_Summary!$A:$A,0),MATCH("Team_League Table_Overall_MP",Team_Summary!$1:$1,0))</f>
        <v/>
      </c>
      <c r="CZ18" s="30">
        <f>IF(COUNTIF(CY$4:CY$23,CY18)&gt;1,"T"&amp;_xlfn.RANK.EQ(CY18,CY$4:CY$23,0),_xlfn.RANK.EQ(CY18,CY$4:CY$23,0))</f>
        <v/>
      </c>
      <c r="DA18">
        <f>INDEX(Team_Summary!$A$1:$JF$21,MATCH(_xlfn.XLOOKUP($B18,Helpers!$C$4:$C$26,Helpers!$B$4:$B$26,"",0),Team_Summary!$A:$A,0),MATCH("Team_Miscellaneous_Stats_Fls",Team_Summary!$1:$1,0))/INDEX(Team_Summary!$A$1:$JF$21,MATCH(_xlfn.XLOOKUP($B18,Helpers!$C$4:$C$26,Helpers!$B$4:$B$26,"",0),Team_Summary!$A:$A,0),MATCH("Team_League Table_Overall_MP",Team_Summary!$1:$1,0))</f>
        <v/>
      </c>
      <c r="DB18" s="30">
        <f>IF(COUNTIF(DA$4:DA$23,DA18)&gt;1,"T"&amp;_xlfn.RANK.EQ(DA18,DA$4:DA$23,1),_xlfn.RANK.EQ(DA18,DA$4:DA$23,1))</f>
        <v/>
      </c>
      <c r="DC18">
        <f>INDEX(Team_Summary!$A$1:$JF$21,MATCH(_xlfn.XLOOKUP($B18,Helpers!$C$4:$C$26,Helpers!$B$4:$B$26,"",0),Team_Summary!$A:$A,0),MATCH("Team_Miscellaneous_Stats_Fld",Team_Summary!$1:$1,0))/INDEX(Team_Summary!$A$1:$JF$21,MATCH(_xlfn.XLOOKUP($B18,Helpers!$C$4:$C$26,Helpers!$B$4:$B$26,"",0),Team_Summary!$A:$A,0),MATCH("Team_League Table_Overall_MP",Team_Summary!$1:$1,0))</f>
        <v/>
      </c>
      <c r="DD18" s="30">
        <f>IF(COUNTIF(DC$4:DC$23,DC18)&gt;1,"T"&amp;_xlfn.RANK.EQ(DC18,DC$4:DC$23,0),_xlfn.RANK.EQ(DC18,DC$4:DC$23,0))</f>
        <v/>
      </c>
      <c r="DE18">
        <f>INDEX(Team_Summary!$A$1:$JF$21,MATCH(_xlfn.XLOOKUP($B18,Helpers!$C$4:$C$26,Helpers!$B$4:$B$26,"",0),Team_Summary!$A:$A,0),MATCH("Team_Miscellaneous_Stats_Won",Team_Summary!$1:$1,0))/INDEX(Team_Summary!$A$1:$JF$21,MATCH(_xlfn.XLOOKUP($B18,Helpers!$C$4:$C$26,Helpers!$B$4:$B$26,"",0),Team_Summary!$A:$A,0),MATCH("Team_League Table_Overall_MP",Team_Summary!$1:$1,0))</f>
        <v/>
      </c>
      <c r="DF18" s="30">
        <f>IF(COUNTIF(DE$4:DE$23,DE18)&gt;1,"T"&amp;_xlfn.RANK.EQ(DE18,DE$4:DE$23,0),_xlfn.RANK.EQ(DE18,DE$4:DE$23,0))</f>
        <v/>
      </c>
      <c r="DG18">
        <f>INDEX(Team_Summary!$A$1:$JF$21,MATCH(_xlfn.XLOOKUP($B18,Helpers!$C$4:$C$26,Helpers!$B$4:$B$26,"",0),Team_Summary!$A:$A,0),MATCH("Team_Miscellaneous_Stats_Pkwon",Team_Summary!$1:$1,0))</f>
        <v/>
      </c>
      <c r="DH18" s="30">
        <f>IF(COUNTIF(DG$4:DG$23,DG18)&gt;1,"T"&amp;_xlfn.RANK.EQ(DG18,DG$4:DG$23,0),_xlfn.RANK.EQ(DG18,DG$4:DG$23,0))</f>
        <v/>
      </c>
      <c r="DI18">
        <f>INDEX(Team_Summary!$A$1:$JF$21,MATCH(_xlfn.XLOOKUP($B18,Helpers!$C$4:$C$26,Helpers!$B$4:$B$26,"",0),Team_Summary!$A:$A,0),MATCH("Team_Miscellaneous_Stats_Pkcon",Team_Summary!$1:$1,0))</f>
        <v/>
      </c>
      <c r="DJ18" s="30">
        <f>IF(COUNTIF(DI$4:DI$23,DI18)&gt;1,"T"&amp;_xlfn.RANK.EQ(DI18,DI$4:DI$23,1),_xlfn.RANK.EQ(DI18,DI$4:DI$23,1))</f>
        <v/>
      </c>
      <c r="DK18">
        <f>INDEX(Team_Summary!$A$1:$JF$21,MATCH(_xlfn.XLOOKUP($B18,Helpers!$C$4:$C$26,Helpers!$B$4:$B$26,"",0),Team_Summary!$A:$A,0),MATCH("Team_Playing_Time_Age",Team_Summary!$1:$1,0))</f>
        <v/>
      </c>
      <c r="DL18" s="30">
        <f>IF(COUNTIF(DK$4:DK$23,DK18)&gt;1,"T"&amp;_xlfn.RANK.EQ(DK18,DK$4:DK$23,1),_xlfn.RANK.EQ(DK18,DK$4:DK$23,1))</f>
        <v/>
      </c>
    </row>
    <row r="19">
      <c r="B19" t="inlineStr">
        <is>
          <t>NFO</t>
        </is>
      </c>
      <c r="C19">
        <f>INDEX(Team_Summary!$A$1:$JF$21,MATCH(_xlfn.XLOOKUP($B19,Helpers!$C$4:$C$26,Helpers!$B$4:$B$26,"",0),Team_Summary!$A:$A,0),MATCH("Team_League Table_Overall_GF",Team_Summary!$1:$1,0))</f>
        <v/>
      </c>
      <c r="D19" s="30">
        <f>IF(COUNTIF(C$4:C$23,C19)&gt;1,"T"&amp;_xlfn.RANK.EQ(C19,C$4:C$23,0),_xlfn.RANK.EQ(C19,C$4:C$23,0))</f>
        <v/>
      </c>
      <c r="E19">
        <f>INDEX(Team_Summary!$A$1:$JF$21,MATCH(_xlfn.XLOOKUP($B19,Helpers!$C$4:$C$26,Helpers!$B$4:$B$26,"",0),Team_Summary!$A:$A,0),MATCH("Team_League Table_Overall_GA",Team_Summary!$1:$1,0))</f>
        <v/>
      </c>
      <c r="F19" s="30">
        <f>IF(COUNTIF(E$4:E$23,E19)&gt;1,"T"&amp;_xlfn.RANK.EQ(E19,E$4:E$23,1),_xlfn.RANK.EQ(E19,E$4:E$23,1))</f>
        <v/>
      </c>
      <c r="G19">
        <f>INDEX(Team_Summary!$A$1:$JF$21,MATCH(_xlfn.XLOOKUP($B19,Helpers!$C$4:$C$26,Helpers!$B$4:$B$26,"",0),Team_Summary!$A:$A,0),MATCH("Team_League Table_Overall_GD",Team_Summary!$1:$1,0))</f>
        <v/>
      </c>
      <c r="H19" s="30">
        <f>IF(COUNTIF(G$4:G$23,G19)&gt;1,"T"&amp;_xlfn.RANK.EQ(G19,G$4:G$23,0),_xlfn.RANK.EQ(G19,G$4:G$23,0))</f>
        <v/>
      </c>
      <c r="I19" s="27">
        <f>G19/INDEX(Team_Summary!$A$1:$JF$21,MATCH(_xlfn.XLOOKUP($B19,Helpers!$C$4:$C$26,Helpers!$B$4:$B$26,"",0),Team_Summary!$A:$A,0),MATCH("Team_League Table_Overall_MP",Team_Summary!$1:$1,0))</f>
        <v/>
      </c>
      <c r="J19" s="30">
        <f>IF(COUNTIF(I$4:I$23,I19)&gt;1,"T"&amp;_xlfn.RANK.EQ(I19,I$4:I$23,0),_xlfn.RANK.EQ(I19,I$4:I$23,0))</f>
        <v/>
      </c>
      <c r="K19">
        <f>INDEX(Team_Summary!$A$1:$JF$21,MATCH(_xlfn.XLOOKUP($B19,Helpers!$C$4:$C$26,Helpers!$B$4:$B$26,"",0),Team_Summary!$A:$A,0),MATCH("Team_League Table_Home_W",Team_Summary!$1:$1,0))</f>
        <v/>
      </c>
      <c r="L19" s="30">
        <f>IF(COUNTIF(K$4:K$23,K19)&gt;1,"T"&amp;_xlfn.RANK.EQ(K19,K$4:K$23,0),_xlfn.RANK.EQ(K19,K$4:K$23,0))</f>
        <v/>
      </c>
      <c r="M19">
        <f>INDEX(Team_Summary!$A$1:$JF$21,MATCH(_xlfn.XLOOKUP($B19,Helpers!$C$4:$C$26,Helpers!$B$4:$B$26,"",0),Team_Summary!$A:$A,0),MATCH("Team_League Table_Away_W",Team_Summary!$1:$1,0))</f>
        <v/>
      </c>
      <c r="N19" s="30">
        <f>IF(COUNTIF(M$4:M$23,M19)&gt;1,"T"&amp;_xlfn.RANK.EQ(M19,M$4:M$23,0),_xlfn.RANK.EQ(M19,M$4:M$23,0))</f>
        <v/>
      </c>
      <c r="O19">
        <f>INDEX(Team_Summary!$A$1:$JF$21,MATCH(_xlfn.XLOOKUP($B19,Helpers!$C$4:$C$26,Helpers!$B$4:$B$26,"",0),Team_Summary!$A:$A,0),MATCH("Team_League Table_Home_D",Team_Summary!$1:$1,0))</f>
        <v/>
      </c>
      <c r="P19" s="30">
        <f>IF(COUNTIF(O$4:O$23,O19)&gt;1,"T"&amp;_xlfn.RANK.EQ(O19,O$4:O$23,1),_xlfn.RANK.EQ(O19,O$4:O$23,1))</f>
        <v/>
      </c>
      <c r="Q19">
        <f>INDEX(Team_Summary!$A$1:$JF$21,MATCH(_xlfn.XLOOKUP($B19,Helpers!$C$4:$C$26,Helpers!$B$4:$B$26,"",0),Team_Summary!$A:$A,0),MATCH("Team_League Table_Away_D",Team_Summary!$1:$1,0))</f>
        <v/>
      </c>
      <c r="R19" s="30">
        <f>IF(COUNTIF(Q$4:Q$23,Q19)&gt;1,"T"&amp;_xlfn.RANK.EQ(Q19,Q$4:Q$23,1),_xlfn.RANK.EQ(Q19,Q$4:Q$23,1))</f>
        <v/>
      </c>
      <c r="S19">
        <f>INDEX(Team_Summary!$A$1:$JF$21,MATCH(_xlfn.XLOOKUP($B19,Helpers!$C$4:$C$26,Helpers!$B$4:$B$26,"",0),Team_Summary!$A:$A,0),MATCH("Team_League Table_Home_L",Team_Summary!$1:$1,0))</f>
        <v/>
      </c>
      <c r="T19" s="30">
        <f>IF(COUNTIF(S$4:S$23,S19)&gt;1,"T"&amp;_xlfn.RANK.EQ(S19,S$4:S$23,1),_xlfn.RANK.EQ(S19,S$4:S$23,1))</f>
        <v/>
      </c>
      <c r="U19">
        <f>INDEX(Team_Summary!$A$1:$JF$21,MATCH(_xlfn.XLOOKUP($B19,Helpers!$C$4:$C$26,Helpers!$B$4:$B$26,"",0),Team_Summary!$A:$A,0),MATCH("Team_League Table_Away_L",Team_Summary!$1:$1,0))</f>
        <v/>
      </c>
      <c r="V19" s="30">
        <f>IF(COUNTIF(U$4:U$23,U19)&gt;1,"T"&amp;_xlfn.RANK.EQ(U19,U$4:U$23,1),_xlfn.RANK.EQ(U19,U$4:U$23,1))</f>
        <v/>
      </c>
      <c r="W19">
        <f>INDEX(Team_Summary!$A$1:$JF$21,MATCH(_xlfn.XLOOKUP($B19,Helpers!$C$4:$C$26,Helpers!$B$4:$B$26,"",0),Team_Summary!$A:$A,0),MATCH("Team_League Table_Home_Pts",Team_Summary!$1:$1,0))</f>
        <v/>
      </c>
      <c r="X19" s="30">
        <f>IF(COUNTIF(W$4:W$23,W19)&gt;1,"T"&amp;_xlfn.RANK.EQ(W19,W$4:W$23,0),_xlfn.RANK.EQ(W19,W$4:W$23,0))</f>
        <v/>
      </c>
      <c r="Y19">
        <f>INDEX(Team_Summary!$A$1:$JF$21,MATCH(_xlfn.XLOOKUP($B19,Helpers!$C$4:$C$26,Helpers!$B$4:$B$26,"",0),Team_Summary!$A:$A,0),MATCH("Team_League Table_Away_Pts",Team_Summary!$1:$1,0))</f>
        <v/>
      </c>
      <c r="Z19" s="30">
        <f>IF(COUNTIF(Y$4:Y$23,Y19)&gt;1,"T"&amp;_xlfn.RANK.EQ(Y19,Y$4:Y$23,0),_xlfn.RANK.EQ(Y19,Y$4:Y$23,0))</f>
        <v/>
      </c>
      <c r="AA19">
        <f>INDEX(Team_Summary!$A$1:$JF$21,MATCH(_xlfn.XLOOKUP($B19,Helpers!$C$4:$C$26,Helpers!$B$4:$B$26,"",0),Team_Summary!$A:$A,0),MATCH("Team_League Table_Home_Pts/MP",Team_Summary!$1:$1,0))</f>
        <v/>
      </c>
      <c r="AB19" s="30">
        <f>IF(COUNTIF(AA$4:AA$23,AA19)&gt;1,"T"&amp;_xlfn.RANK.EQ(AA19,AA$4:AA$23,0),_xlfn.RANK.EQ(AA19,AA$4:AA$23,0))</f>
        <v/>
      </c>
      <c r="AC19">
        <f>INDEX(Team_Summary!$A$1:$JF$21,MATCH(_xlfn.XLOOKUP($B19,Helpers!$C$4:$C$26,Helpers!$B$4:$B$26,"",0),Team_Summary!$A:$A,0),MATCH("Team_League Table_Away_Pts/MP",Team_Summary!$1:$1,0))</f>
        <v/>
      </c>
      <c r="AD19" s="30">
        <f>IF(COUNTIF(AC$4:AC$23,AC19)&gt;1,"T"&amp;_xlfn.RANK.EQ(AC19,AC$4:AC$23,0),_xlfn.RANK.EQ(AC19,AC$4:AC$23,0))</f>
        <v/>
      </c>
      <c r="AE19">
        <f>INDEX(Team_Summary!$A$1:$JF$21,MATCH(_xlfn.XLOOKUP($B19,Helpers!$C$4:$C$26,Helpers!$B$4:$B$26,"",0),Team_Summary!$A:$A,0),MATCH("Team_League Table_Overall_Pts/MP",Team_Summary!$1:$1,0))</f>
        <v/>
      </c>
      <c r="AF19" s="30">
        <f>IF(COUNTIF(AE$4:AE$23,AE19)&gt;1,"T"&amp;_xlfn.RANK.EQ(AE19,AE$4:AE$23,0),_xlfn.RANK.EQ(AE19,AE$4:AE$23,0))</f>
        <v/>
      </c>
      <c r="AG19">
        <f>INDEX(Team_Summary!$A$1:$JF$21,MATCH(_xlfn.XLOOKUP($B19,Helpers!$C$4:$C$26,Helpers!$B$4:$B$26,"",0),Team_Summary!$A:$A,0),MATCH("Team_League Table_Home_GF",Team_Summary!$1:$1,0))</f>
        <v/>
      </c>
      <c r="AH19" s="30">
        <f>IF(COUNTIF(AG$4:AG$23,AG19)&gt;1,"T"&amp;_xlfn.RANK.EQ(AG19,AG$4:AG$23,0),_xlfn.RANK.EQ(AG19,AG$4:AG$23,0))</f>
        <v/>
      </c>
      <c r="AI19">
        <f>INDEX(Team_Summary!$A$1:$JF$21,MATCH(_xlfn.XLOOKUP($B19,Helpers!$C$4:$C$26,Helpers!$B$4:$B$26,"",0),Team_Summary!$A:$A,0),MATCH("Team_League Table_Away_GF",Team_Summary!$1:$1,0))</f>
        <v/>
      </c>
      <c r="AJ19" s="30">
        <f>IF(COUNTIF(AI$4:AI$23,AI19)&gt;1,"T"&amp;_xlfn.RANK.EQ(AI19,AI$4:AI$23,0),_xlfn.RANK.EQ(AI19,AI$4:AI$23,0))</f>
        <v/>
      </c>
      <c r="AK19">
        <f>INDEX(Team_Summary!$A$1:$JF$21,MATCH(_xlfn.XLOOKUP($B19,Helpers!$C$4:$C$26,Helpers!$B$4:$B$26,"",0),Team_Summary!$A:$A,0),MATCH("Team_League Table_Home_GA",Team_Summary!$1:$1,0))</f>
        <v/>
      </c>
      <c r="AL19" s="30">
        <f>IF(COUNTIF(AK$4:AK$23,AK19)&gt;1,"T"&amp;_xlfn.RANK.EQ(AK19,AK$4:AK$23,1),_xlfn.RANK.EQ(AK19,AK$4:AK$23,1))</f>
        <v/>
      </c>
      <c r="AM19">
        <f>INDEX(Team_Summary!$A$1:$JF$21,MATCH(_xlfn.XLOOKUP($B19,Helpers!$C$4:$C$26,Helpers!$B$4:$B$26,"",0),Team_Summary!$A:$A,0),MATCH("Team_League Table_Away_GA",Team_Summary!$1:$1,0))</f>
        <v/>
      </c>
      <c r="AN19" s="30">
        <f>IF(COUNTIF(AM$4:AM$23,AM19)&gt;1,"T"&amp;_xlfn.RANK.EQ(AM19,AM$4:AM$23,1),_xlfn.RANK.EQ(AM19,AM$4:AM$23,1))</f>
        <v/>
      </c>
      <c r="AO19">
        <f>INDEX(Team_Summary!$A$1:$JF$21,MATCH(_xlfn.XLOOKUP($B19,Helpers!$C$4:$C$26,Helpers!$B$4:$B$26,"",0),Team_Summary!$A:$A,0),MATCH("Team_League Table_Home_GD",Team_Summary!$1:$1,0))</f>
        <v/>
      </c>
      <c r="AP19" s="30">
        <f>IF(COUNTIF(AO$4:AO$23,AO19)&gt;1,"T"&amp;_xlfn.RANK.EQ(AO19,AO$4:AO$23,0),_xlfn.RANK.EQ(AO19,AO$4:AO$23,0))</f>
        <v/>
      </c>
      <c r="AQ19">
        <f>INDEX(Team_Summary!$A$1:$JF$21,MATCH(_xlfn.XLOOKUP($B19,Helpers!$C$4:$C$26,Helpers!$B$4:$B$26,"",0),Team_Summary!$A:$A,0),MATCH("Team_League Table_Away_GD",Team_Summary!$1:$1,0))</f>
        <v/>
      </c>
      <c r="AR19" s="30">
        <f>IF(COUNTIF(AQ$4:AQ$23,AQ19)&gt;1,"T"&amp;_xlfn.RANK.EQ(AQ19,AQ$4:AQ$23,0),_xlfn.RANK.EQ(AQ19,AQ$4:AQ$23,0))</f>
        <v/>
      </c>
      <c r="AS19">
        <f>INDEX(Team_Summary!$A$1:$JF$21,MATCH(_xlfn.XLOOKUP($B19,Helpers!$C$4:$C$26,Helpers!$B$4:$B$26,"",0),Team_Summary!$A:$A,0),MATCH("Team_Standard_Stats_Gls",Team_Summary!$1:$1,0))</f>
        <v/>
      </c>
      <c r="AT19" s="30">
        <f>IF(COUNTIF(AS$4:AS$23,AS19)&gt;1,"T"&amp;_xlfn.RANK.EQ(AS19,AS$4:AS$23,0),_xlfn.RANK.EQ(AS19,AS$4:AS$23,0))</f>
        <v/>
      </c>
      <c r="AU19" s="27">
        <f>C19/INDEX(Team_Summary!$A$1:$JF$21,MATCH(_xlfn.XLOOKUP($B19,Helpers!$C$4:$C$26,Helpers!$B$4:$B$26,"",0),Team_Summary!$A:$A,0),MATCH("Team_League Table_Overall_MP",Team_Summary!$1:$1,0))</f>
        <v/>
      </c>
      <c r="AV19" s="30">
        <f>IF(COUNTIF(AU$4:AU$23,AU19)&gt;1,"T"&amp;_xlfn.RANK.EQ(AU19,AU$4:AU$23,0),_xlfn.RANK.EQ(AU19,AU$4:AU$23,0))</f>
        <v/>
      </c>
      <c r="AW19">
        <f>INDEX(Team_Summary!$A$1:$JF$21,MATCH(_xlfn.XLOOKUP($B19,Helpers!$C$4:$C$26,Helpers!$B$4:$B$26,"",0),Team_Summary!$A:$A,0),MATCH("Team_Standard_Stats_G-PK",Team_Summary!$1:$1,0))</f>
        <v/>
      </c>
      <c r="AX19" s="30">
        <f>IF(COUNTIF(AW$4:AW$23,AW19)&gt;1,"T"&amp;_xlfn.RANK.EQ(AW19,AW$4:AW$23,0),_xlfn.RANK.EQ(AW19,AW$4:AW$23,0))</f>
        <v/>
      </c>
      <c r="AY19">
        <f>INDEX(Team_Summary!$A$1:$JF$21,MATCH(_xlfn.XLOOKUP($B19,Helpers!$C$4:$C$26,Helpers!$B$4:$B$26,"",0),Team_Summary!$A:$A,0),MATCH("Team_Standard_Stats_PK",Team_Summary!$1:$1,0))</f>
        <v/>
      </c>
      <c r="AZ19" s="30">
        <f>IF(COUNTIF(AY$4:AY$23,AY19)&gt;1,"T"&amp;_xlfn.RANK.EQ(AY19,AY$4:AY$23,0),_xlfn.RANK.EQ(AY19,AY$4:AY$23,0))</f>
        <v/>
      </c>
      <c r="BA19">
        <f>INDEX(Team_Summary!$A$1:$JF$21,MATCH(_xlfn.XLOOKUP($B19,Helpers!$C$4:$C$26,Helpers!$B$4:$B$26,"",0),Team_Summary!$A:$A,0),MATCH("Team_Standard_Stats_Ast.1",Team_Summary!$1:$1,0))</f>
        <v/>
      </c>
      <c r="BB19" s="30">
        <f>IF(COUNTIF(BA$4:BA$23,BA19)&gt;1,"T"&amp;_xlfn.RANK.EQ(BA19,BA$4:BA$23,0),_xlfn.RANK.EQ(BA19,BA$4:BA$23,0))</f>
        <v/>
      </c>
      <c r="BC19">
        <f>INDEX(Team_Summary!$A$1:$JF$21,MATCH(_xlfn.XLOOKUP($B19,Helpers!$C$4:$C$26,Helpers!$B$4:$B$26,"",0),Team_Summary!$A:$A,0),MATCH("Team_Standard_Stats_Ast",Team_Summary!$1:$1,0))</f>
        <v/>
      </c>
      <c r="BD19" s="30">
        <f>IF(COUNTIF(BC$4:BC$23,BC19)&gt;1,"T"&amp;_xlfn.RANK.EQ(BC19,BC$4:BC$23,0),_xlfn.RANK.EQ(BC19,BC$4:BC$23,0))</f>
        <v/>
      </c>
      <c r="BE19">
        <f>INDEX(Team_Summary!$A$1:$JF$21,MATCH(_xlfn.XLOOKUP($B19,Helpers!$C$4:$C$26,Helpers!$B$4:$B$26,"",0),Team_Summary!$A:$A,0),MATCH("Team_Miscellaneous_Stats_CrdY",Team_Summary!$1:$1,0))</f>
        <v/>
      </c>
      <c r="BF19" s="30">
        <f>IF(COUNTIF(BE$4:BE$23,BE19)&gt;1,"T"&amp;_xlfn.RANK.EQ(BE19,BE$4:BE$23,1),_xlfn.RANK.EQ(BE19,BE$4:BE$23,1))</f>
        <v/>
      </c>
      <c r="BG19" s="35">
        <f>BE19/INDEX(Team_Summary!$A$1:$JF$21,MATCH(_xlfn.XLOOKUP($B19,Helpers!$C$4:$C$26,Helpers!$B$4:$B$26,"",0),Team_Summary!$A:$A,0),MATCH("Team_League Table_Overall_MP",Team_Summary!$1:$1,0))</f>
        <v/>
      </c>
      <c r="BH19" s="30">
        <f>IF(COUNTIF(BG$4:BG$23,BG19)&gt;1,"T"&amp;_xlfn.RANK.EQ(BG19,BG$4:BG$23,1),_xlfn.RANK.EQ(BG19,BG$4:BG$23,1))</f>
        <v/>
      </c>
      <c r="BI19">
        <f>INDEX(Team_Summary!$A$1:$JF$21,MATCH(_xlfn.XLOOKUP($B19,Helpers!$C$4:$C$26,Helpers!$B$4:$B$26,"",0),Team_Summary!$A:$A,0),MATCH("Team_Miscellaneous_Stats_CrdR",Team_Summary!$1:$1,0))/INDEX(Team_Summary!$A$1:$JF$21,MATCH(_xlfn.XLOOKUP($B19,Helpers!$C$4:$C$26,Helpers!$B$4:$B$26,"",0),Team_Summary!$A:$A,0),MATCH("Team_League Table_Overall_MP",Team_Summary!$1:$1,0))</f>
        <v/>
      </c>
      <c r="BJ19" s="30">
        <f>IF(COUNTIF(BI$4:BI$23,BI19)&gt;1,"T"&amp;_xlfn.RANK.EQ(BI19,BI$4:BI$23,1),_xlfn.RANK.EQ(BI19,BI$4:BI$23,1))</f>
        <v/>
      </c>
      <c r="BK19">
        <f>INDEX(Team_Summary!$A$1:$JF$21,MATCH(_xlfn.XLOOKUP($B19,Helpers!$C$4:$C$26,Helpers!$B$4:$B$26,"",0),Team_Summary!$A:$A,0),MATCH("Team_Goalkeeping_SoTA",Team_Summary!$1:$1,0))/INDEX(Team_Summary!$A$1:$JF$21,MATCH(_xlfn.XLOOKUP($B19,Helpers!$C$4:$C$26,Helpers!$B$4:$B$26,"",0),Team_Summary!$A:$A,0),MATCH("Team_League Table_Overall_MP",Team_Summary!$1:$1,0))</f>
        <v/>
      </c>
      <c r="BL19" s="30">
        <f>IF(COUNTIF(BK$4:BK$23,BK19)&gt;1,"T"&amp;_xlfn.RANK.EQ(BK19,BK$4:BK$23,1),_xlfn.RANK.EQ(BK19,BK$4:BK$23,1))</f>
        <v/>
      </c>
      <c r="BM19">
        <f>INDEX(Team_Summary!$A$1:$JF$21,MATCH(_xlfn.XLOOKUP($B19,Helpers!$C$4:$C$26,Helpers!$B$4:$B$26,"",0),Team_Summary!$A:$A,0),MATCH("Team_Goalkeeping_Save%",Team_Summary!$1:$1,0))</f>
        <v/>
      </c>
      <c r="BN19" s="30">
        <f>IF(COUNTIF(BM$4:BM$23,BM19)&gt;1,"T"&amp;_xlfn.RANK.EQ(BM19,BM$4:BM$23,0),_xlfn.RANK.EQ(BM19,BM$4:BM$23,0))</f>
        <v/>
      </c>
      <c r="BO19">
        <f>INDEX(Team_Summary!$A$1:$JF$21,MATCH(_xlfn.XLOOKUP($B19,Helpers!$C$4:$C$26,Helpers!$B$4:$B$26,"",0),Team_Summary!$A:$A,0),MATCH("Team_Goalkeeping_CS%",Team_Summary!$1:$1,0))</f>
        <v/>
      </c>
      <c r="BP19" s="30">
        <f>IF(COUNTIF(BO$4:BO$23,BO19)&gt;1,"T"&amp;_xlfn.RANK.EQ(BO19,BO$4:BO$23,0),_xlfn.RANK.EQ(BO19,BO$4:BO$23,0))</f>
        <v/>
      </c>
      <c r="BQ19">
        <f>INDEX(Team_Summary!$A$1:$JF$21,MATCH(_xlfn.XLOOKUP($B19,Helpers!$C$4:$C$26,Helpers!$B$4:$B$26,"",0),Team_Summary!$A:$A,0),MATCH("Team_Goalkeeping_Save%.1",Team_Summary!$1:$1,0))</f>
        <v/>
      </c>
      <c r="BR19" s="30">
        <f>IF(COUNTIF(BQ$4:BQ$23,BQ19)&gt;1,"T"&amp;_xlfn.RANK.EQ(BQ19,BQ$4:BQ$23,0),_xlfn.RANK.EQ(BQ19,BQ$4:BQ$23,0))</f>
        <v/>
      </c>
      <c r="BS19">
        <f>INDEX(Team_Summary!$A$1:$JF$21,MATCH(_xlfn.XLOOKUP($B19,Helpers!$C$4:$C$26,Helpers!$B$4:$B$26,"",0),Team_Summary!$A:$A,0),MATCH("Team_Advanced_Goalkeeping_FK",Team_Summary!$1:$1,0))</f>
        <v/>
      </c>
      <c r="BT19" s="30">
        <f>IF(COUNTIF(BS$4:BS$23,BS19)&gt;1,"T"&amp;_xlfn.RANK.EQ(BS19,BS$4:BS$23,1),_xlfn.RANK.EQ(BS19,BS$4:BS$23,1))</f>
        <v/>
      </c>
      <c r="BU19">
        <f>INDEX(Team_Summary!$A$1:$JF$21,MATCH(_xlfn.XLOOKUP($B19,Helpers!$C$4:$C$26,Helpers!$B$4:$B$26,"",0),Team_Summary!$A:$A,0),MATCH("Team_Advanced_Goalkeeping_CK",Team_Summary!$1:$1,0))</f>
        <v/>
      </c>
      <c r="BV19" s="30">
        <f>IF(COUNTIF(BU$4:BU$23,BU19)&gt;1,"T"&amp;_xlfn.RANK.EQ(BU19,BU$4:BU$23,1),_xlfn.RANK.EQ(BU19,BU$4:BU$23,1))</f>
        <v/>
      </c>
      <c r="BW19">
        <f>INDEX(Team_Summary!$A$1:$JF$21,MATCH(_xlfn.XLOOKUP($B19,Helpers!$C$4:$C$26,Helpers!$B$4:$B$26,"",0),Team_Summary!$A:$A,0),MATCH("Team_Advanced_Goalkeeping_Stp%",Team_Summary!$1:$1,0))</f>
        <v/>
      </c>
      <c r="BX19" s="30">
        <f>IF(COUNTIF(BW$4:BW$23,BW19)&gt;1,"T"&amp;_xlfn.RANK.EQ(BW19,BW$4:BW$23,0),_xlfn.RANK.EQ(BW19,BW$4:BW$23,0))</f>
        <v/>
      </c>
      <c r="BY19">
        <f>INDEX(Team_Summary!$A$1:$JF$21,MATCH(_xlfn.XLOOKUP($B19,Helpers!$C$4:$C$26,Helpers!$B$4:$B$26,"",0),Team_Summary!$A:$A,0),MATCH("Team_Shooting_G/SoT",Team_Summary!$1:$1,0))</f>
        <v/>
      </c>
      <c r="BZ19" s="30">
        <f>IF(COUNTIF(BY$4:BY$23,BY19)&gt;1,"T"&amp;_xlfn.RANK.EQ(BY19,BY$4:BY$23,0),_xlfn.RANK.EQ(BY19,BY$4:BY$23,0))</f>
        <v/>
      </c>
      <c r="CA19">
        <f>INDEX(Team_Summary!$A$1:$JF$21,MATCH(_xlfn.XLOOKUP($B19,Helpers!$C$4:$C$26,Helpers!$B$4:$B$26,"",0),Team_Summary!$A:$A,0),MATCH("Team_Shooting_G/Sh",Team_Summary!$1:$1,0))</f>
        <v/>
      </c>
      <c r="CB19" s="30">
        <f>IF(COUNTIF(CA$4:CA$23,CA19)&gt;1,"T"&amp;_xlfn.RANK.EQ(CA19,CA$4:CA$23,0),_xlfn.RANK.EQ(CA19,CA$4:CA$23,0))</f>
        <v/>
      </c>
      <c r="CC19">
        <f>INDEX(Team_Summary!$A$1:$JF$21,MATCH(_xlfn.XLOOKUP($B19,Helpers!$C$4:$C$26,Helpers!$B$4:$B$26,"",0),Team_Summary!$A:$A,0),MATCH("Team_Shooting_SoT",Team_Summary!$1:$1,0))/INDEX(Team_Summary!$A$1:$JF$21,MATCH(_xlfn.XLOOKUP($B19,Helpers!$C$4:$C$26,Helpers!$B$4:$B$26,"",0),Team_Summary!$A:$A,0),MATCH("Team_League Table_Overall_MP",Team_Summary!$1:$1,0))</f>
        <v/>
      </c>
      <c r="CD19" s="30">
        <f>IF(COUNTIF(CC$4:CC$23,CC19)&gt;1,"T"&amp;_xlfn.RANK.EQ(CC19,CC$4:CC$23,0),_xlfn.RANK.EQ(CC19,CC$4:CC$23,0))</f>
        <v/>
      </c>
      <c r="CE19">
        <f>INDEX(Team_Summary!$A$1:$JF$21,MATCH(_xlfn.XLOOKUP($B19,Helpers!$C$4:$C$26,Helpers!$B$4:$B$26,"",0),Team_Summary!$A:$A,0),MATCH("Team_Shooting_SoT%",Team_Summary!$1:$1,0))</f>
        <v/>
      </c>
      <c r="CF19" s="30">
        <f>IF(COUNTIF(CE$4:CE$23,CE19)&gt;1,"T"&amp;_xlfn.RANK.EQ(CE19,CE$4:CE$23,0),_xlfn.RANK.EQ(CE19,CE$4:CE$23,0))</f>
        <v/>
      </c>
      <c r="CG19">
        <f>INDEX(Team_Summary!$A$1:$JF$21,MATCH(_xlfn.XLOOKUP($B19,Helpers!$C$4:$C$26,Helpers!$B$4:$B$26,"",0),Team_Summary!$A:$A,0),MATCH("Team_Pass_Types_CK",Team_Summary!$1:$1,0))/INDEX(Team_Summary!$A$1:$JF$21,MATCH(_xlfn.XLOOKUP($B19,Helpers!$C$4:$C$26,Helpers!$B$4:$B$26,"",0),Team_Summary!$A:$A,0),MATCH("Team_League Table_Overall_MP",Team_Summary!$1:$1,0))</f>
        <v/>
      </c>
      <c r="CH19" s="30">
        <f>IF(COUNTIF(CG$4:CG$23,CG19)&gt;1,"T"&amp;_xlfn.RANK.EQ(CG19,CG$4:CG$23,0),_xlfn.RANK.EQ(CG19,CG$4:CG$23,0))</f>
        <v/>
      </c>
      <c r="CI19">
        <f>INDEX(Team_Summary!$A$1:$JF$21,MATCH(_xlfn.XLOOKUP($B19,Helpers!$C$4:$C$26,Helpers!$B$4:$B$26,"",0),Team_Summary!$A:$A,0),MATCH("Team_Miscellaneous_Stats_TklW",Team_Summary!$1:$1,0))/INDEX(Team_Summary!$A$1:$JF$21,MATCH(_xlfn.XLOOKUP($B19,Helpers!$C$4:$C$26,Helpers!$B$4:$B$26,"",0),Team_Summary!$A:$A,0),MATCH("Team_League Table_Overall_MP",Team_Summary!$1:$1,0))</f>
        <v/>
      </c>
      <c r="CJ19" s="30">
        <f>IF(COUNTIF(CI$4:CI$23,CI19)&gt;1,"T"&amp;_xlfn.RANK.EQ(CI19,CI$4:CI$23,0),_xlfn.RANK.EQ(CI19,CI$4:CI$23,0))</f>
        <v/>
      </c>
      <c r="CK19">
        <f>INDEX(Team_Summary!$A$1:$JF$21,MATCH(_xlfn.XLOOKUP($B19,Helpers!$C$4:$C$26,Helpers!$B$4:$B$26,"",0),Team_Summary!$A:$A,0),MATCH("Team_Defensive_Actions_Sh",Team_Summary!$1:$1,0))/INDEX(Team_Summary!$A$1:$JF$21,MATCH(_xlfn.XLOOKUP($B19,Helpers!$C$4:$C$26,Helpers!$B$4:$B$26,"",0),Team_Summary!$A:$A,0),MATCH("Team_League Table_Overall_MP",Team_Summary!$1:$1,0))</f>
        <v/>
      </c>
      <c r="CL19" s="30">
        <f>IF(COUNTIF(CK$4:CK$23,CK19)&gt;1,"T"&amp;_xlfn.RANK.EQ(CK19,CK$4:CK$23,0),_xlfn.RANK.EQ(CK19,CK$4:CK$23,0))</f>
        <v/>
      </c>
      <c r="CM19">
        <f>INDEX(Team_Summary!$A$1:$JF$21,MATCH(_xlfn.XLOOKUP($B19,Helpers!$C$4:$C$26,Helpers!$B$4:$B$26,"",0),Team_Summary!$A:$A,0),MATCH("Team_Defensive_Actions_Int",Team_Summary!$1:$1,0))/INDEX(Team_Summary!$A$1:$JF$21,MATCH(_xlfn.XLOOKUP($B19,Helpers!$C$4:$C$26,Helpers!$B$4:$B$26,"",0),Team_Summary!$A:$A,0),MATCH("Team_League Table_Overall_MP",Team_Summary!$1:$1,0))</f>
        <v/>
      </c>
      <c r="CN19" s="30">
        <f>IF(COUNTIF(CM$4:CM$23,CM19)&gt;1,"T"&amp;_xlfn.RANK.EQ(CM19,CM$4:CM$23,0),_xlfn.RANK.EQ(CM19,CM$4:CM$23,0))</f>
        <v/>
      </c>
      <c r="CO19">
        <f>INDEX(Team_Summary!$A$1:$JF$21,MATCH(_xlfn.XLOOKUP($B19,Helpers!$C$4:$C$26,Helpers!$B$4:$B$26,"",0),Team_Summary!$A:$A,0),MATCH("Team_Possession_Poss",Team_Summary!$1:$1,0))</f>
        <v/>
      </c>
      <c r="CP19" s="30">
        <f>IF(COUNTIF(CO$4:CO$23,CO19)&gt;1,"T"&amp;_xlfn.RANK.EQ(CO19,CO$4:CO$23,0),_xlfn.RANK.EQ(CO19,CO$4:CO$23,0))</f>
        <v/>
      </c>
      <c r="CQ19">
        <f>INDEX(Team_Summary!$A$1:$JF$21,MATCH(_xlfn.XLOOKUP($B19,Helpers!$C$4:$C$26,Helpers!$B$4:$B$26,"",0),Team_Summary!$A:$A,0),MATCH("Team_Possession_Def Pen",Team_Summary!$1:$1,0))/INDEX(Team_Summary!$A$1:$JF$21,MATCH(_xlfn.XLOOKUP($B19,Helpers!$C$4:$C$26,Helpers!$B$4:$B$26,"",0),Team_Summary!$A:$A,0),MATCH("Team_League Table_Overall_MP",Team_Summary!$1:$1,0))</f>
        <v/>
      </c>
      <c r="CR19" s="30">
        <f>IF(COUNTIF(CQ$4:CQ$23,CQ19)&gt;1,"T"&amp;_xlfn.RANK.EQ(CQ19,CQ$4:CQ$23,0),_xlfn.RANK.EQ(CQ19,CQ$4:CQ$23,0))</f>
        <v/>
      </c>
      <c r="CS19">
        <f>INDEX(Team_Summary!$A$1:$JF$21,MATCH(_xlfn.XLOOKUP($B19,Helpers!$C$4:$C$26,Helpers!$B$4:$B$26,"",0),Team_Summary!$A:$A,0),MATCH("Team_Possession_Def 3rd",Team_Summary!$1:$1,0))/INDEX(Team_Summary!$A$1:$JF$21,MATCH(_xlfn.XLOOKUP($B19,Helpers!$C$4:$C$26,Helpers!$B$4:$B$26,"",0),Team_Summary!$A:$A,0),MATCH("Team_League Table_Overall_MP",Team_Summary!$1:$1,0))</f>
        <v/>
      </c>
      <c r="CT19" s="30">
        <f>IF(COUNTIF(CS$4:CS$23,CS19)&gt;1,"T"&amp;_xlfn.RANK.EQ(CS19,CS$4:CS$23,0),_xlfn.RANK.EQ(CS19,CS$4:CS$23,0))</f>
        <v/>
      </c>
      <c r="CU19">
        <f>INDEX(Team_Summary!$A$1:$JF$21,MATCH(_xlfn.XLOOKUP($B19,Helpers!$C$4:$C$26,Helpers!$B$4:$B$26,"",0),Team_Summary!$A:$A,0),MATCH("Team_Possession_Mid 3rd",Team_Summary!$1:$1,0))/INDEX(Team_Summary!$A$1:$JF$21,MATCH(_xlfn.XLOOKUP($B19,Helpers!$C$4:$C$26,Helpers!$B$4:$B$26,"",0),Team_Summary!$A:$A,0),MATCH("Team_League Table_Overall_MP",Team_Summary!$1:$1,0))</f>
        <v/>
      </c>
      <c r="CV19" s="30">
        <f>IF(COUNTIF(CU$4:CU$23,CU19)&gt;1,"T"&amp;_xlfn.RANK.EQ(CU19,CU$4:CU$23,0),_xlfn.RANK.EQ(CU19,CU$4:CU$23,0))</f>
        <v/>
      </c>
      <c r="CW19">
        <f>INDEX(Team_Summary!$A$1:$JF$21,MATCH(_xlfn.XLOOKUP($B19,Helpers!$C$4:$C$26,Helpers!$B$4:$B$26,"",0),Team_Summary!$A:$A,0),MATCH("Team_Possession_Att 3rd",Team_Summary!$1:$1,0))/INDEX(Team_Summary!$A$1:$JF$21,MATCH(_xlfn.XLOOKUP($B19,Helpers!$C$4:$C$26,Helpers!$B$4:$B$26,"",0),Team_Summary!$A:$A,0),MATCH("Team_League Table_Overall_MP",Team_Summary!$1:$1,0))</f>
        <v/>
      </c>
      <c r="CX19" s="30">
        <f>IF(COUNTIF(CW$4:CW$23,CW19)&gt;1,"T"&amp;_xlfn.RANK.EQ(CW19,CW$4:CW$23,0),_xlfn.RANK.EQ(CW19,CW$4:CW$23,0))</f>
        <v/>
      </c>
      <c r="CY19">
        <f>INDEX(Team_Summary!$A$1:$JF$21,MATCH(_xlfn.XLOOKUP($B19,Helpers!$C$4:$C$26,Helpers!$B$4:$B$26,"",0),Team_Summary!$A:$A,0),MATCH("Team_Possession_Att Pen",Team_Summary!$1:$1,0))/INDEX(Team_Summary!$A$1:$JF$21,MATCH(_xlfn.XLOOKUP($B19,Helpers!$C$4:$C$26,Helpers!$B$4:$B$26,"",0),Team_Summary!$A:$A,0),MATCH("Team_League Table_Overall_MP",Team_Summary!$1:$1,0))</f>
        <v/>
      </c>
      <c r="CZ19" s="30">
        <f>IF(COUNTIF(CY$4:CY$23,CY19)&gt;1,"T"&amp;_xlfn.RANK.EQ(CY19,CY$4:CY$23,0),_xlfn.RANK.EQ(CY19,CY$4:CY$23,0))</f>
        <v/>
      </c>
      <c r="DA19">
        <f>INDEX(Team_Summary!$A$1:$JF$21,MATCH(_xlfn.XLOOKUP($B19,Helpers!$C$4:$C$26,Helpers!$B$4:$B$26,"",0),Team_Summary!$A:$A,0),MATCH("Team_Miscellaneous_Stats_Fls",Team_Summary!$1:$1,0))/INDEX(Team_Summary!$A$1:$JF$21,MATCH(_xlfn.XLOOKUP($B19,Helpers!$C$4:$C$26,Helpers!$B$4:$B$26,"",0),Team_Summary!$A:$A,0),MATCH("Team_League Table_Overall_MP",Team_Summary!$1:$1,0))</f>
        <v/>
      </c>
      <c r="DB19" s="30">
        <f>IF(COUNTIF(DA$4:DA$23,DA19)&gt;1,"T"&amp;_xlfn.RANK.EQ(DA19,DA$4:DA$23,1),_xlfn.RANK.EQ(DA19,DA$4:DA$23,1))</f>
        <v/>
      </c>
      <c r="DC19">
        <f>INDEX(Team_Summary!$A$1:$JF$21,MATCH(_xlfn.XLOOKUP($B19,Helpers!$C$4:$C$26,Helpers!$B$4:$B$26,"",0),Team_Summary!$A:$A,0),MATCH("Team_Miscellaneous_Stats_Fld",Team_Summary!$1:$1,0))/INDEX(Team_Summary!$A$1:$JF$21,MATCH(_xlfn.XLOOKUP($B19,Helpers!$C$4:$C$26,Helpers!$B$4:$B$26,"",0),Team_Summary!$A:$A,0),MATCH("Team_League Table_Overall_MP",Team_Summary!$1:$1,0))</f>
        <v/>
      </c>
      <c r="DD19" s="30">
        <f>IF(COUNTIF(DC$4:DC$23,DC19)&gt;1,"T"&amp;_xlfn.RANK.EQ(DC19,DC$4:DC$23,0),_xlfn.RANK.EQ(DC19,DC$4:DC$23,0))</f>
        <v/>
      </c>
      <c r="DE19">
        <f>INDEX(Team_Summary!$A$1:$JF$21,MATCH(_xlfn.XLOOKUP($B19,Helpers!$C$4:$C$26,Helpers!$B$4:$B$26,"",0),Team_Summary!$A:$A,0),MATCH("Team_Miscellaneous_Stats_Won",Team_Summary!$1:$1,0))/INDEX(Team_Summary!$A$1:$JF$21,MATCH(_xlfn.XLOOKUP($B19,Helpers!$C$4:$C$26,Helpers!$B$4:$B$26,"",0),Team_Summary!$A:$A,0),MATCH("Team_League Table_Overall_MP",Team_Summary!$1:$1,0))</f>
        <v/>
      </c>
      <c r="DF19" s="30">
        <f>IF(COUNTIF(DE$4:DE$23,DE19)&gt;1,"T"&amp;_xlfn.RANK.EQ(DE19,DE$4:DE$23,0),_xlfn.RANK.EQ(DE19,DE$4:DE$23,0))</f>
        <v/>
      </c>
      <c r="DG19">
        <f>INDEX(Team_Summary!$A$1:$JF$21,MATCH(_xlfn.XLOOKUP($B19,Helpers!$C$4:$C$26,Helpers!$B$4:$B$26,"",0),Team_Summary!$A:$A,0),MATCH("Team_Miscellaneous_Stats_Pkwon",Team_Summary!$1:$1,0))</f>
        <v/>
      </c>
      <c r="DH19" s="30">
        <f>IF(COUNTIF(DG$4:DG$23,DG19)&gt;1,"T"&amp;_xlfn.RANK.EQ(DG19,DG$4:DG$23,0),_xlfn.RANK.EQ(DG19,DG$4:DG$23,0))</f>
        <v/>
      </c>
      <c r="DI19">
        <f>INDEX(Team_Summary!$A$1:$JF$21,MATCH(_xlfn.XLOOKUP($B19,Helpers!$C$4:$C$26,Helpers!$B$4:$B$26,"",0),Team_Summary!$A:$A,0),MATCH("Team_Miscellaneous_Stats_Pkcon",Team_Summary!$1:$1,0))</f>
        <v/>
      </c>
      <c r="DJ19" s="30">
        <f>IF(COUNTIF(DI$4:DI$23,DI19)&gt;1,"T"&amp;_xlfn.RANK.EQ(DI19,DI$4:DI$23,1),_xlfn.RANK.EQ(DI19,DI$4:DI$23,1))</f>
        <v/>
      </c>
      <c r="DK19">
        <f>INDEX(Team_Summary!$A$1:$JF$21,MATCH(_xlfn.XLOOKUP($B19,Helpers!$C$4:$C$26,Helpers!$B$4:$B$26,"",0),Team_Summary!$A:$A,0),MATCH("Team_Playing_Time_Age",Team_Summary!$1:$1,0))</f>
        <v/>
      </c>
      <c r="DL19" s="30">
        <f>IF(COUNTIF(DK$4:DK$23,DK19)&gt;1,"T"&amp;_xlfn.RANK.EQ(DK19,DK$4:DK$23,1),_xlfn.RANK.EQ(DK19,DK$4:DK$23,1))</f>
        <v/>
      </c>
    </row>
    <row r="20">
      <c r="B20" t="inlineStr">
        <is>
          <t>SND</t>
        </is>
      </c>
      <c r="C20">
        <f>INDEX(Team_Summary!$A$1:$JF$21,MATCH(_xlfn.XLOOKUP($B20,Helpers!$C$4:$C$26,Helpers!$B$4:$B$26,"",0),Team_Summary!$A:$A,0),MATCH("Team_League Table_Overall_GF",Team_Summary!$1:$1,0))</f>
        <v/>
      </c>
      <c r="D20" s="30">
        <f>IF(COUNTIF(C$4:C$23,C20)&gt;1,"T"&amp;_xlfn.RANK.EQ(C20,C$4:C$23,0),_xlfn.RANK.EQ(C20,C$4:C$23,0))</f>
        <v/>
      </c>
      <c r="E20">
        <f>INDEX(Team_Summary!$A$1:$JF$21,MATCH(_xlfn.XLOOKUP($B20,Helpers!$C$4:$C$26,Helpers!$B$4:$B$26,"",0),Team_Summary!$A:$A,0),MATCH("Team_League Table_Overall_GA",Team_Summary!$1:$1,0))</f>
        <v/>
      </c>
      <c r="F20" s="30">
        <f>IF(COUNTIF(E$4:E$23,E20)&gt;1,"T"&amp;_xlfn.RANK.EQ(E20,E$4:E$23,1),_xlfn.RANK.EQ(E20,E$4:E$23,1))</f>
        <v/>
      </c>
      <c r="G20">
        <f>INDEX(Team_Summary!$A$1:$JF$21,MATCH(_xlfn.XLOOKUP($B20,Helpers!$C$4:$C$26,Helpers!$B$4:$B$26,"",0),Team_Summary!$A:$A,0),MATCH("Team_League Table_Overall_GD",Team_Summary!$1:$1,0))</f>
        <v/>
      </c>
      <c r="H20" s="30">
        <f>IF(COUNTIF(G$4:G$23,G20)&gt;1,"T"&amp;_xlfn.RANK.EQ(G20,G$4:G$23,0),_xlfn.RANK.EQ(G20,G$4:G$23,0))</f>
        <v/>
      </c>
      <c r="I20" s="27">
        <f>G20/INDEX(Team_Summary!$A$1:$JF$21,MATCH(_xlfn.XLOOKUP($B20,Helpers!$C$4:$C$26,Helpers!$B$4:$B$26,"",0),Team_Summary!$A:$A,0),MATCH("Team_League Table_Overall_MP",Team_Summary!$1:$1,0))</f>
        <v/>
      </c>
      <c r="J20" s="30">
        <f>IF(COUNTIF(I$4:I$23,I20)&gt;1,"T"&amp;_xlfn.RANK.EQ(I20,I$4:I$23,0),_xlfn.RANK.EQ(I20,I$4:I$23,0))</f>
        <v/>
      </c>
      <c r="K20">
        <f>INDEX(Team_Summary!$A$1:$JF$21,MATCH(_xlfn.XLOOKUP($B20,Helpers!$C$4:$C$26,Helpers!$B$4:$B$26,"",0),Team_Summary!$A:$A,0),MATCH("Team_League Table_Home_W",Team_Summary!$1:$1,0))</f>
        <v/>
      </c>
      <c r="L20" s="30">
        <f>IF(COUNTIF(K$4:K$23,K20)&gt;1,"T"&amp;_xlfn.RANK.EQ(K20,K$4:K$23,0),_xlfn.RANK.EQ(K20,K$4:K$23,0))</f>
        <v/>
      </c>
      <c r="M20">
        <f>INDEX(Team_Summary!$A$1:$JF$21,MATCH(_xlfn.XLOOKUP($B20,Helpers!$C$4:$C$26,Helpers!$B$4:$B$26,"",0),Team_Summary!$A:$A,0),MATCH("Team_League Table_Away_W",Team_Summary!$1:$1,0))</f>
        <v/>
      </c>
      <c r="N20" s="30">
        <f>IF(COUNTIF(M$4:M$23,M20)&gt;1,"T"&amp;_xlfn.RANK.EQ(M20,M$4:M$23,0),_xlfn.RANK.EQ(M20,M$4:M$23,0))</f>
        <v/>
      </c>
      <c r="O20">
        <f>INDEX(Team_Summary!$A$1:$JF$21,MATCH(_xlfn.XLOOKUP($B20,Helpers!$C$4:$C$26,Helpers!$B$4:$B$26,"",0),Team_Summary!$A:$A,0),MATCH("Team_League Table_Home_D",Team_Summary!$1:$1,0))</f>
        <v/>
      </c>
      <c r="P20" s="30">
        <f>IF(COUNTIF(O$4:O$23,O20)&gt;1,"T"&amp;_xlfn.RANK.EQ(O20,O$4:O$23,1),_xlfn.RANK.EQ(O20,O$4:O$23,1))</f>
        <v/>
      </c>
      <c r="Q20">
        <f>INDEX(Team_Summary!$A$1:$JF$21,MATCH(_xlfn.XLOOKUP($B20,Helpers!$C$4:$C$26,Helpers!$B$4:$B$26,"",0),Team_Summary!$A:$A,0),MATCH("Team_League Table_Away_D",Team_Summary!$1:$1,0))</f>
        <v/>
      </c>
      <c r="R20" s="30">
        <f>IF(COUNTIF(Q$4:Q$23,Q20)&gt;1,"T"&amp;_xlfn.RANK.EQ(Q20,Q$4:Q$23,1),_xlfn.RANK.EQ(Q20,Q$4:Q$23,1))</f>
        <v/>
      </c>
      <c r="S20">
        <f>INDEX(Team_Summary!$A$1:$JF$21,MATCH(_xlfn.XLOOKUP($B20,Helpers!$C$4:$C$26,Helpers!$B$4:$B$26,"",0),Team_Summary!$A:$A,0),MATCH("Team_League Table_Home_L",Team_Summary!$1:$1,0))</f>
        <v/>
      </c>
      <c r="T20" s="30">
        <f>IF(COUNTIF(S$4:S$23,S20)&gt;1,"T"&amp;_xlfn.RANK.EQ(S20,S$4:S$23,1),_xlfn.RANK.EQ(S20,S$4:S$23,1))</f>
        <v/>
      </c>
      <c r="U20">
        <f>INDEX(Team_Summary!$A$1:$JF$21,MATCH(_xlfn.XLOOKUP($B20,Helpers!$C$4:$C$26,Helpers!$B$4:$B$26,"",0),Team_Summary!$A:$A,0),MATCH("Team_League Table_Away_L",Team_Summary!$1:$1,0))</f>
        <v/>
      </c>
      <c r="V20" s="30">
        <f>IF(COUNTIF(U$4:U$23,U20)&gt;1,"T"&amp;_xlfn.RANK.EQ(U20,U$4:U$23,1),_xlfn.RANK.EQ(U20,U$4:U$23,1))</f>
        <v/>
      </c>
      <c r="W20">
        <f>INDEX(Team_Summary!$A$1:$JF$21,MATCH(_xlfn.XLOOKUP($B20,Helpers!$C$4:$C$26,Helpers!$B$4:$B$26,"",0),Team_Summary!$A:$A,0),MATCH("Team_League Table_Home_Pts",Team_Summary!$1:$1,0))</f>
        <v/>
      </c>
      <c r="X20" s="30">
        <f>IF(COUNTIF(W$4:W$23,W20)&gt;1,"T"&amp;_xlfn.RANK.EQ(W20,W$4:W$23,0),_xlfn.RANK.EQ(W20,W$4:W$23,0))</f>
        <v/>
      </c>
      <c r="Y20">
        <f>INDEX(Team_Summary!$A$1:$JF$21,MATCH(_xlfn.XLOOKUP($B20,Helpers!$C$4:$C$26,Helpers!$B$4:$B$26,"",0),Team_Summary!$A:$A,0),MATCH("Team_League Table_Away_Pts",Team_Summary!$1:$1,0))</f>
        <v/>
      </c>
      <c r="Z20" s="30">
        <f>IF(COUNTIF(Y$4:Y$23,Y20)&gt;1,"T"&amp;_xlfn.RANK.EQ(Y20,Y$4:Y$23,0),_xlfn.RANK.EQ(Y20,Y$4:Y$23,0))</f>
        <v/>
      </c>
      <c r="AA20">
        <f>INDEX(Team_Summary!$A$1:$JF$21,MATCH(_xlfn.XLOOKUP($B20,Helpers!$C$4:$C$26,Helpers!$B$4:$B$26,"",0),Team_Summary!$A:$A,0),MATCH("Team_League Table_Home_Pts/MP",Team_Summary!$1:$1,0))</f>
        <v/>
      </c>
      <c r="AB20" s="30">
        <f>IF(COUNTIF(AA$4:AA$23,AA20)&gt;1,"T"&amp;_xlfn.RANK.EQ(AA20,AA$4:AA$23,0),_xlfn.RANK.EQ(AA20,AA$4:AA$23,0))</f>
        <v/>
      </c>
      <c r="AC20">
        <f>INDEX(Team_Summary!$A$1:$JF$21,MATCH(_xlfn.XLOOKUP($B20,Helpers!$C$4:$C$26,Helpers!$B$4:$B$26,"",0),Team_Summary!$A:$A,0),MATCH("Team_League Table_Away_Pts/MP",Team_Summary!$1:$1,0))</f>
        <v/>
      </c>
      <c r="AD20" s="30">
        <f>IF(COUNTIF(AC$4:AC$23,AC20)&gt;1,"T"&amp;_xlfn.RANK.EQ(AC20,AC$4:AC$23,0),_xlfn.RANK.EQ(AC20,AC$4:AC$23,0))</f>
        <v/>
      </c>
      <c r="AE20">
        <f>INDEX(Team_Summary!$A$1:$JF$21,MATCH(_xlfn.XLOOKUP($B20,Helpers!$C$4:$C$26,Helpers!$B$4:$B$26,"",0),Team_Summary!$A:$A,0),MATCH("Team_League Table_Overall_Pts/MP",Team_Summary!$1:$1,0))</f>
        <v/>
      </c>
      <c r="AF20" s="30">
        <f>IF(COUNTIF(AE$4:AE$23,AE20)&gt;1,"T"&amp;_xlfn.RANK.EQ(AE20,AE$4:AE$23,0),_xlfn.RANK.EQ(AE20,AE$4:AE$23,0))</f>
        <v/>
      </c>
      <c r="AG20">
        <f>INDEX(Team_Summary!$A$1:$JF$21,MATCH(_xlfn.XLOOKUP($B20,Helpers!$C$4:$C$26,Helpers!$B$4:$B$26,"",0),Team_Summary!$A:$A,0),MATCH("Team_League Table_Home_GF",Team_Summary!$1:$1,0))</f>
        <v/>
      </c>
      <c r="AH20" s="30">
        <f>IF(COUNTIF(AG$4:AG$23,AG20)&gt;1,"T"&amp;_xlfn.RANK.EQ(AG20,AG$4:AG$23,0),_xlfn.RANK.EQ(AG20,AG$4:AG$23,0))</f>
        <v/>
      </c>
      <c r="AI20">
        <f>INDEX(Team_Summary!$A$1:$JF$21,MATCH(_xlfn.XLOOKUP($B20,Helpers!$C$4:$C$26,Helpers!$B$4:$B$26,"",0),Team_Summary!$A:$A,0),MATCH("Team_League Table_Away_GF",Team_Summary!$1:$1,0))</f>
        <v/>
      </c>
      <c r="AJ20" s="30">
        <f>IF(COUNTIF(AI$4:AI$23,AI20)&gt;1,"T"&amp;_xlfn.RANK.EQ(AI20,AI$4:AI$23,0),_xlfn.RANK.EQ(AI20,AI$4:AI$23,0))</f>
        <v/>
      </c>
      <c r="AK20">
        <f>INDEX(Team_Summary!$A$1:$JF$21,MATCH(_xlfn.XLOOKUP($B20,Helpers!$C$4:$C$26,Helpers!$B$4:$B$26,"",0),Team_Summary!$A:$A,0),MATCH("Team_League Table_Home_GA",Team_Summary!$1:$1,0))</f>
        <v/>
      </c>
      <c r="AL20" s="30">
        <f>IF(COUNTIF(AK$4:AK$23,AK20)&gt;1,"T"&amp;_xlfn.RANK.EQ(AK20,AK$4:AK$23,1),_xlfn.RANK.EQ(AK20,AK$4:AK$23,1))</f>
        <v/>
      </c>
      <c r="AM20">
        <f>INDEX(Team_Summary!$A$1:$JF$21,MATCH(_xlfn.XLOOKUP($B20,Helpers!$C$4:$C$26,Helpers!$B$4:$B$26,"",0),Team_Summary!$A:$A,0),MATCH("Team_League Table_Away_GA",Team_Summary!$1:$1,0))</f>
        <v/>
      </c>
      <c r="AN20" s="30">
        <f>IF(COUNTIF(AM$4:AM$23,AM20)&gt;1,"T"&amp;_xlfn.RANK.EQ(AM20,AM$4:AM$23,1),_xlfn.RANK.EQ(AM20,AM$4:AM$23,1))</f>
        <v/>
      </c>
      <c r="AO20">
        <f>INDEX(Team_Summary!$A$1:$JF$21,MATCH(_xlfn.XLOOKUP($B20,Helpers!$C$4:$C$26,Helpers!$B$4:$B$26,"",0),Team_Summary!$A:$A,0),MATCH("Team_League Table_Home_GD",Team_Summary!$1:$1,0))</f>
        <v/>
      </c>
      <c r="AP20" s="30">
        <f>IF(COUNTIF(AO$4:AO$23,AO20)&gt;1,"T"&amp;_xlfn.RANK.EQ(AO20,AO$4:AO$23,0),_xlfn.RANK.EQ(AO20,AO$4:AO$23,0))</f>
        <v/>
      </c>
      <c r="AQ20">
        <f>INDEX(Team_Summary!$A$1:$JF$21,MATCH(_xlfn.XLOOKUP($B20,Helpers!$C$4:$C$26,Helpers!$B$4:$B$26,"",0),Team_Summary!$A:$A,0),MATCH("Team_League Table_Away_GD",Team_Summary!$1:$1,0))</f>
        <v/>
      </c>
      <c r="AR20" s="30">
        <f>IF(COUNTIF(AQ$4:AQ$23,AQ20)&gt;1,"T"&amp;_xlfn.RANK.EQ(AQ20,AQ$4:AQ$23,0),_xlfn.RANK.EQ(AQ20,AQ$4:AQ$23,0))</f>
        <v/>
      </c>
      <c r="AS20">
        <f>INDEX(Team_Summary!$A$1:$JF$21,MATCH(_xlfn.XLOOKUP($B20,Helpers!$C$4:$C$26,Helpers!$B$4:$B$26,"",0),Team_Summary!$A:$A,0),MATCH("Team_Standard_Stats_Gls",Team_Summary!$1:$1,0))</f>
        <v/>
      </c>
      <c r="AT20" s="30">
        <f>IF(COUNTIF(AS$4:AS$23,AS20)&gt;1,"T"&amp;_xlfn.RANK.EQ(AS20,AS$4:AS$23,0),_xlfn.RANK.EQ(AS20,AS$4:AS$23,0))</f>
        <v/>
      </c>
      <c r="AU20" s="27">
        <f>C20/INDEX(Team_Summary!$A$1:$JF$21,MATCH(_xlfn.XLOOKUP($B20,Helpers!$C$4:$C$26,Helpers!$B$4:$B$26,"",0),Team_Summary!$A:$A,0),MATCH("Team_League Table_Overall_MP",Team_Summary!$1:$1,0))</f>
        <v/>
      </c>
      <c r="AV20" s="30">
        <f>IF(COUNTIF(AU$4:AU$23,AU20)&gt;1,"T"&amp;_xlfn.RANK.EQ(AU20,AU$4:AU$23,0),_xlfn.RANK.EQ(AU20,AU$4:AU$23,0))</f>
        <v/>
      </c>
      <c r="AW20">
        <f>INDEX(Team_Summary!$A$1:$JF$21,MATCH(_xlfn.XLOOKUP($B20,Helpers!$C$4:$C$26,Helpers!$B$4:$B$26,"",0),Team_Summary!$A:$A,0),MATCH("Team_Standard_Stats_G-PK",Team_Summary!$1:$1,0))</f>
        <v/>
      </c>
      <c r="AX20" s="30">
        <f>IF(COUNTIF(AW$4:AW$23,AW20)&gt;1,"T"&amp;_xlfn.RANK.EQ(AW20,AW$4:AW$23,0),_xlfn.RANK.EQ(AW20,AW$4:AW$23,0))</f>
        <v/>
      </c>
      <c r="AY20">
        <f>INDEX(Team_Summary!$A$1:$JF$21,MATCH(_xlfn.XLOOKUP($B20,Helpers!$C$4:$C$26,Helpers!$B$4:$B$26,"",0),Team_Summary!$A:$A,0),MATCH("Team_Standard_Stats_PK",Team_Summary!$1:$1,0))</f>
        <v/>
      </c>
      <c r="AZ20" s="30">
        <f>IF(COUNTIF(AY$4:AY$23,AY20)&gt;1,"T"&amp;_xlfn.RANK.EQ(AY20,AY$4:AY$23,0),_xlfn.RANK.EQ(AY20,AY$4:AY$23,0))</f>
        <v/>
      </c>
      <c r="BA20">
        <f>INDEX(Team_Summary!$A$1:$JF$21,MATCH(_xlfn.XLOOKUP($B20,Helpers!$C$4:$C$26,Helpers!$B$4:$B$26,"",0),Team_Summary!$A:$A,0),MATCH("Team_Standard_Stats_Ast.1",Team_Summary!$1:$1,0))</f>
        <v/>
      </c>
      <c r="BB20" s="30">
        <f>IF(COUNTIF(BA$4:BA$23,BA20)&gt;1,"T"&amp;_xlfn.RANK.EQ(BA20,BA$4:BA$23,0),_xlfn.RANK.EQ(BA20,BA$4:BA$23,0))</f>
        <v/>
      </c>
      <c r="BC20">
        <f>INDEX(Team_Summary!$A$1:$JF$21,MATCH(_xlfn.XLOOKUP($B20,Helpers!$C$4:$C$26,Helpers!$B$4:$B$26,"",0),Team_Summary!$A:$A,0),MATCH("Team_Standard_Stats_Ast",Team_Summary!$1:$1,0))</f>
        <v/>
      </c>
      <c r="BD20" s="30">
        <f>IF(COUNTIF(BC$4:BC$23,BC20)&gt;1,"T"&amp;_xlfn.RANK.EQ(BC20,BC$4:BC$23,0),_xlfn.RANK.EQ(BC20,BC$4:BC$23,0))</f>
        <v/>
      </c>
      <c r="BE20">
        <f>INDEX(Team_Summary!$A$1:$JF$21,MATCH(_xlfn.XLOOKUP($B20,Helpers!$C$4:$C$26,Helpers!$B$4:$B$26,"",0),Team_Summary!$A:$A,0),MATCH("Team_Miscellaneous_Stats_CrdY",Team_Summary!$1:$1,0))</f>
        <v/>
      </c>
      <c r="BF20" s="30">
        <f>IF(COUNTIF(BE$4:BE$23,BE20)&gt;1,"T"&amp;_xlfn.RANK.EQ(BE20,BE$4:BE$23,1),_xlfn.RANK.EQ(BE20,BE$4:BE$23,1))</f>
        <v/>
      </c>
      <c r="BG20" s="35">
        <f>BE20/INDEX(Team_Summary!$A$1:$JF$21,MATCH(_xlfn.XLOOKUP($B20,Helpers!$C$4:$C$26,Helpers!$B$4:$B$26,"",0),Team_Summary!$A:$A,0),MATCH("Team_League Table_Overall_MP",Team_Summary!$1:$1,0))</f>
        <v/>
      </c>
      <c r="BH20" s="30">
        <f>IF(COUNTIF(BG$4:BG$23,BG20)&gt;1,"T"&amp;_xlfn.RANK.EQ(BG20,BG$4:BG$23,1),_xlfn.RANK.EQ(BG20,BG$4:BG$23,1))</f>
        <v/>
      </c>
      <c r="BI20">
        <f>INDEX(Team_Summary!$A$1:$JF$21,MATCH(_xlfn.XLOOKUP($B20,Helpers!$C$4:$C$26,Helpers!$B$4:$B$26,"",0),Team_Summary!$A:$A,0),MATCH("Team_Miscellaneous_Stats_CrdR",Team_Summary!$1:$1,0))/INDEX(Team_Summary!$A$1:$JF$21,MATCH(_xlfn.XLOOKUP($B20,Helpers!$C$4:$C$26,Helpers!$B$4:$B$26,"",0),Team_Summary!$A:$A,0),MATCH("Team_League Table_Overall_MP",Team_Summary!$1:$1,0))</f>
        <v/>
      </c>
      <c r="BJ20" s="30">
        <f>IF(COUNTIF(BI$4:BI$23,BI20)&gt;1,"T"&amp;_xlfn.RANK.EQ(BI20,BI$4:BI$23,1),_xlfn.RANK.EQ(BI20,BI$4:BI$23,1))</f>
        <v/>
      </c>
      <c r="BK20">
        <f>INDEX(Team_Summary!$A$1:$JF$21,MATCH(_xlfn.XLOOKUP($B20,Helpers!$C$4:$C$26,Helpers!$B$4:$B$26,"",0),Team_Summary!$A:$A,0),MATCH("Team_Goalkeeping_SoTA",Team_Summary!$1:$1,0))/INDEX(Team_Summary!$A$1:$JF$21,MATCH(_xlfn.XLOOKUP($B20,Helpers!$C$4:$C$26,Helpers!$B$4:$B$26,"",0),Team_Summary!$A:$A,0),MATCH("Team_League Table_Overall_MP",Team_Summary!$1:$1,0))</f>
        <v/>
      </c>
      <c r="BL20" s="30">
        <f>IF(COUNTIF(BK$4:BK$23,BK20)&gt;1,"T"&amp;_xlfn.RANK.EQ(BK20,BK$4:BK$23,1),_xlfn.RANK.EQ(BK20,BK$4:BK$23,1))</f>
        <v/>
      </c>
      <c r="BM20">
        <f>INDEX(Team_Summary!$A$1:$JF$21,MATCH(_xlfn.XLOOKUP($B20,Helpers!$C$4:$C$26,Helpers!$B$4:$B$26,"",0),Team_Summary!$A:$A,0),MATCH("Team_Goalkeeping_Save%",Team_Summary!$1:$1,0))</f>
        <v/>
      </c>
      <c r="BN20" s="30">
        <f>IF(COUNTIF(BM$4:BM$23,BM20)&gt;1,"T"&amp;_xlfn.RANK.EQ(BM20,BM$4:BM$23,0),_xlfn.RANK.EQ(BM20,BM$4:BM$23,0))</f>
        <v/>
      </c>
      <c r="BO20">
        <f>INDEX(Team_Summary!$A$1:$JF$21,MATCH(_xlfn.XLOOKUP($B20,Helpers!$C$4:$C$26,Helpers!$B$4:$B$26,"",0),Team_Summary!$A:$A,0),MATCH("Team_Goalkeeping_CS%",Team_Summary!$1:$1,0))</f>
        <v/>
      </c>
      <c r="BP20" s="30">
        <f>IF(COUNTIF(BO$4:BO$23,BO20)&gt;1,"T"&amp;_xlfn.RANK.EQ(BO20,BO$4:BO$23,0),_xlfn.RANK.EQ(BO20,BO$4:BO$23,0))</f>
        <v/>
      </c>
      <c r="BQ20">
        <f>INDEX(Team_Summary!$A$1:$JF$21,MATCH(_xlfn.XLOOKUP($B20,Helpers!$C$4:$C$26,Helpers!$B$4:$B$26,"",0),Team_Summary!$A:$A,0),MATCH("Team_Goalkeeping_Save%.1",Team_Summary!$1:$1,0))</f>
        <v/>
      </c>
      <c r="BR20" s="30">
        <f>IF(COUNTIF(BQ$4:BQ$23,BQ20)&gt;1,"T"&amp;_xlfn.RANK.EQ(BQ20,BQ$4:BQ$23,0),_xlfn.RANK.EQ(BQ20,BQ$4:BQ$23,0))</f>
        <v/>
      </c>
      <c r="BS20">
        <f>INDEX(Team_Summary!$A$1:$JF$21,MATCH(_xlfn.XLOOKUP($B20,Helpers!$C$4:$C$26,Helpers!$B$4:$B$26,"",0),Team_Summary!$A:$A,0),MATCH("Team_Advanced_Goalkeeping_FK",Team_Summary!$1:$1,0))</f>
        <v/>
      </c>
      <c r="BT20" s="30">
        <f>IF(COUNTIF(BS$4:BS$23,BS20)&gt;1,"T"&amp;_xlfn.RANK.EQ(BS20,BS$4:BS$23,1),_xlfn.RANK.EQ(BS20,BS$4:BS$23,1))</f>
        <v/>
      </c>
      <c r="BU20">
        <f>INDEX(Team_Summary!$A$1:$JF$21,MATCH(_xlfn.XLOOKUP($B20,Helpers!$C$4:$C$26,Helpers!$B$4:$B$26,"",0),Team_Summary!$A:$A,0),MATCH("Team_Advanced_Goalkeeping_CK",Team_Summary!$1:$1,0))</f>
        <v/>
      </c>
      <c r="BV20" s="30">
        <f>IF(COUNTIF(BU$4:BU$23,BU20)&gt;1,"T"&amp;_xlfn.RANK.EQ(BU20,BU$4:BU$23,1),_xlfn.RANK.EQ(BU20,BU$4:BU$23,1))</f>
        <v/>
      </c>
      <c r="BW20">
        <f>INDEX(Team_Summary!$A$1:$JF$21,MATCH(_xlfn.XLOOKUP($B20,Helpers!$C$4:$C$26,Helpers!$B$4:$B$26,"",0),Team_Summary!$A:$A,0),MATCH("Team_Advanced_Goalkeeping_Stp%",Team_Summary!$1:$1,0))</f>
        <v/>
      </c>
      <c r="BX20" s="30">
        <f>IF(COUNTIF(BW$4:BW$23,BW20)&gt;1,"T"&amp;_xlfn.RANK.EQ(BW20,BW$4:BW$23,0),_xlfn.RANK.EQ(BW20,BW$4:BW$23,0))</f>
        <v/>
      </c>
      <c r="BY20">
        <f>INDEX(Team_Summary!$A$1:$JF$21,MATCH(_xlfn.XLOOKUP($B20,Helpers!$C$4:$C$26,Helpers!$B$4:$B$26,"",0),Team_Summary!$A:$A,0),MATCH("Team_Shooting_G/SoT",Team_Summary!$1:$1,0))</f>
        <v/>
      </c>
      <c r="BZ20" s="30">
        <f>IF(COUNTIF(BY$4:BY$23,BY20)&gt;1,"T"&amp;_xlfn.RANK.EQ(BY20,BY$4:BY$23,0),_xlfn.RANK.EQ(BY20,BY$4:BY$23,0))</f>
        <v/>
      </c>
      <c r="CA20">
        <f>INDEX(Team_Summary!$A$1:$JF$21,MATCH(_xlfn.XLOOKUP($B20,Helpers!$C$4:$C$26,Helpers!$B$4:$B$26,"",0),Team_Summary!$A:$A,0),MATCH("Team_Shooting_G/Sh",Team_Summary!$1:$1,0))</f>
        <v/>
      </c>
      <c r="CB20" s="30">
        <f>IF(COUNTIF(CA$4:CA$23,CA20)&gt;1,"T"&amp;_xlfn.RANK.EQ(CA20,CA$4:CA$23,0),_xlfn.RANK.EQ(CA20,CA$4:CA$23,0))</f>
        <v/>
      </c>
      <c r="CC20">
        <f>INDEX(Team_Summary!$A$1:$JF$21,MATCH(_xlfn.XLOOKUP($B20,Helpers!$C$4:$C$26,Helpers!$B$4:$B$26,"",0),Team_Summary!$A:$A,0),MATCH("Team_Shooting_SoT",Team_Summary!$1:$1,0))/INDEX(Team_Summary!$A$1:$JF$21,MATCH(_xlfn.XLOOKUP($B20,Helpers!$C$4:$C$26,Helpers!$B$4:$B$26,"",0),Team_Summary!$A:$A,0),MATCH("Team_League Table_Overall_MP",Team_Summary!$1:$1,0))</f>
        <v/>
      </c>
      <c r="CD20" s="30">
        <f>IF(COUNTIF(CC$4:CC$23,CC20)&gt;1,"T"&amp;_xlfn.RANK.EQ(CC20,CC$4:CC$23,0),_xlfn.RANK.EQ(CC20,CC$4:CC$23,0))</f>
        <v/>
      </c>
      <c r="CE20">
        <f>INDEX(Team_Summary!$A$1:$JF$21,MATCH(_xlfn.XLOOKUP($B20,Helpers!$C$4:$C$26,Helpers!$B$4:$B$26,"",0),Team_Summary!$A:$A,0),MATCH("Team_Shooting_SoT%",Team_Summary!$1:$1,0))</f>
        <v/>
      </c>
      <c r="CF20" s="30">
        <f>IF(COUNTIF(CE$4:CE$23,CE20)&gt;1,"T"&amp;_xlfn.RANK.EQ(CE20,CE$4:CE$23,0),_xlfn.RANK.EQ(CE20,CE$4:CE$23,0))</f>
        <v/>
      </c>
      <c r="CG20">
        <f>INDEX(Team_Summary!$A$1:$JF$21,MATCH(_xlfn.XLOOKUP($B20,Helpers!$C$4:$C$26,Helpers!$B$4:$B$26,"",0),Team_Summary!$A:$A,0),MATCH("Team_Pass_Types_CK",Team_Summary!$1:$1,0))/INDEX(Team_Summary!$A$1:$JF$21,MATCH(_xlfn.XLOOKUP($B20,Helpers!$C$4:$C$26,Helpers!$B$4:$B$26,"",0),Team_Summary!$A:$A,0),MATCH("Team_League Table_Overall_MP",Team_Summary!$1:$1,0))</f>
        <v/>
      </c>
      <c r="CH20" s="30">
        <f>IF(COUNTIF(CG$4:CG$23,CG20)&gt;1,"T"&amp;_xlfn.RANK.EQ(CG20,CG$4:CG$23,0),_xlfn.RANK.EQ(CG20,CG$4:CG$23,0))</f>
        <v/>
      </c>
      <c r="CI20">
        <f>INDEX(Team_Summary!$A$1:$JF$21,MATCH(_xlfn.XLOOKUP($B20,Helpers!$C$4:$C$26,Helpers!$B$4:$B$26,"",0),Team_Summary!$A:$A,0),MATCH("Team_Miscellaneous_Stats_TklW",Team_Summary!$1:$1,0))/INDEX(Team_Summary!$A$1:$JF$21,MATCH(_xlfn.XLOOKUP($B20,Helpers!$C$4:$C$26,Helpers!$B$4:$B$26,"",0),Team_Summary!$A:$A,0),MATCH("Team_League Table_Overall_MP",Team_Summary!$1:$1,0))</f>
        <v/>
      </c>
      <c r="CJ20" s="30">
        <f>IF(COUNTIF(CI$4:CI$23,CI20)&gt;1,"T"&amp;_xlfn.RANK.EQ(CI20,CI$4:CI$23,0),_xlfn.RANK.EQ(CI20,CI$4:CI$23,0))</f>
        <v/>
      </c>
      <c r="CK20">
        <f>INDEX(Team_Summary!$A$1:$JF$21,MATCH(_xlfn.XLOOKUP($B20,Helpers!$C$4:$C$26,Helpers!$B$4:$B$26,"",0),Team_Summary!$A:$A,0),MATCH("Team_Defensive_Actions_Sh",Team_Summary!$1:$1,0))/INDEX(Team_Summary!$A$1:$JF$21,MATCH(_xlfn.XLOOKUP($B20,Helpers!$C$4:$C$26,Helpers!$B$4:$B$26,"",0),Team_Summary!$A:$A,0),MATCH("Team_League Table_Overall_MP",Team_Summary!$1:$1,0))</f>
        <v/>
      </c>
      <c r="CL20" s="30">
        <f>IF(COUNTIF(CK$4:CK$23,CK20)&gt;1,"T"&amp;_xlfn.RANK.EQ(CK20,CK$4:CK$23,0),_xlfn.RANK.EQ(CK20,CK$4:CK$23,0))</f>
        <v/>
      </c>
      <c r="CM20">
        <f>INDEX(Team_Summary!$A$1:$JF$21,MATCH(_xlfn.XLOOKUP($B20,Helpers!$C$4:$C$26,Helpers!$B$4:$B$26,"",0),Team_Summary!$A:$A,0),MATCH("Team_Defensive_Actions_Int",Team_Summary!$1:$1,0))/INDEX(Team_Summary!$A$1:$JF$21,MATCH(_xlfn.XLOOKUP($B20,Helpers!$C$4:$C$26,Helpers!$B$4:$B$26,"",0),Team_Summary!$A:$A,0),MATCH("Team_League Table_Overall_MP",Team_Summary!$1:$1,0))</f>
        <v/>
      </c>
      <c r="CN20" s="30">
        <f>IF(COUNTIF(CM$4:CM$23,CM20)&gt;1,"T"&amp;_xlfn.RANK.EQ(CM20,CM$4:CM$23,0),_xlfn.RANK.EQ(CM20,CM$4:CM$23,0))</f>
        <v/>
      </c>
      <c r="CO20">
        <f>INDEX(Team_Summary!$A$1:$JF$21,MATCH(_xlfn.XLOOKUP($B20,Helpers!$C$4:$C$26,Helpers!$B$4:$B$26,"",0),Team_Summary!$A:$A,0),MATCH("Team_Possession_Poss",Team_Summary!$1:$1,0))</f>
        <v/>
      </c>
      <c r="CP20" s="30">
        <f>IF(COUNTIF(CO$4:CO$23,CO20)&gt;1,"T"&amp;_xlfn.RANK.EQ(CO20,CO$4:CO$23,0),_xlfn.RANK.EQ(CO20,CO$4:CO$23,0))</f>
        <v/>
      </c>
      <c r="CQ20">
        <f>INDEX(Team_Summary!$A$1:$JF$21,MATCH(_xlfn.XLOOKUP($B20,Helpers!$C$4:$C$26,Helpers!$B$4:$B$26,"",0),Team_Summary!$A:$A,0),MATCH("Team_Possession_Def Pen",Team_Summary!$1:$1,0))/INDEX(Team_Summary!$A$1:$JF$21,MATCH(_xlfn.XLOOKUP($B20,Helpers!$C$4:$C$26,Helpers!$B$4:$B$26,"",0),Team_Summary!$A:$A,0),MATCH("Team_League Table_Overall_MP",Team_Summary!$1:$1,0))</f>
        <v/>
      </c>
      <c r="CR20" s="30">
        <f>IF(COUNTIF(CQ$4:CQ$23,CQ20)&gt;1,"T"&amp;_xlfn.RANK.EQ(CQ20,CQ$4:CQ$23,0),_xlfn.RANK.EQ(CQ20,CQ$4:CQ$23,0))</f>
        <v/>
      </c>
      <c r="CS20">
        <f>INDEX(Team_Summary!$A$1:$JF$21,MATCH(_xlfn.XLOOKUP($B20,Helpers!$C$4:$C$26,Helpers!$B$4:$B$26,"",0),Team_Summary!$A:$A,0),MATCH("Team_Possession_Def 3rd",Team_Summary!$1:$1,0))/INDEX(Team_Summary!$A$1:$JF$21,MATCH(_xlfn.XLOOKUP($B20,Helpers!$C$4:$C$26,Helpers!$B$4:$B$26,"",0),Team_Summary!$A:$A,0),MATCH("Team_League Table_Overall_MP",Team_Summary!$1:$1,0))</f>
        <v/>
      </c>
      <c r="CT20" s="30">
        <f>IF(COUNTIF(CS$4:CS$23,CS20)&gt;1,"T"&amp;_xlfn.RANK.EQ(CS20,CS$4:CS$23,0),_xlfn.RANK.EQ(CS20,CS$4:CS$23,0))</f>
        <v/>
      </c>
      <c r="CU20">
        <f>INDEX(Team_Summary!$A$1:$JF$21,MATCH(_xlfn.XLOOKUP($B20,Helpers!$C$4:$C$26,Helpers!$B$4:$B$26,"",0),Team_Summary!$A:$A,0),MATCH("Team_Possession_Mid 3rd",Team_Summary!$1:$1,0))/INDEX(Team_Summary!$A$1:$JF$21,MATCH(_xlfn.XLOOKUP($B20,Helpers!$C$4:$C$26,Helpers!$B$4:$B$26,"",0),Team_Summary!$A:$A,0),MATCH("Team_League Table_Overall_MP",Team_Summary!$1:$1,0))</f>
        <v/>
      </c>
      <c r="CV20" s="30">
        <f>IF(COUNTIF(CU$4:CU$23,CU20)&gt;1,"T"&amp;_xlfn.RANK.EQ(CU20,CU$4:CU$23,0),_xlfn.RANK.EQ(CU20,CU$4:CU$23,0))</f>
        <v/>
      </c>
      <c r="CW20">
        <f>INDEX(Team_Summary!$A$1:$JF$21,MATCH(_xlfn.XLOOKUP($B20,Helpers!$C$4:$C$26,Helpers!$B$4:$B$26,"",0),Team_Summary!$A:$A,0),MATCH("Team_Possession_Att 3rd",Team_Summary!$1:$1,0))/INDEX(Team_Summary!$A$1:$JF$21,MATCH(_xlfn.XLOOKUP($B20,Helpers!$C$4:$C$26,Helpers!$B$4:$B$26,"",0),Team_Summary!$A:$A,0),MATCH("Team_League Table_Overall_MP",Team_Summary!$1:$1,0))</f>
        <v/>
      </c>
      <c r="CX20" s="30">
        <f>IF(COUNTIF(CW$4:CW$23,CW20)&gt;1,"T"&amp;_xlfn.RANK.EQ(CW20,CW$4:CW$23,0),_xlfn.RANK.EQ(CW20,CW$4:CW$23,0))</f>
        <v/>
      </c>
      <c r="CY20">
        <f>INDEX(Team_Summary!$A$1:$JF$21,MATCH(_xlfn.XLOOKUP($B20,Helpers!$C$4:$C$26,Helpers!$B$4:$B$26,"",0),Team_Summary!$A:$A,0),MATCH("Team_Possession_Att Pen",Team_Summary!$1:$1,0))/INDEX(Team_Summary!$A$1:$JF$21,MATCH(_xlfn.XLOOKUP($B20,Helpers!$C$4:$C$26,Helpers!$B$4:$B$26,"",0),Team_Summary!$A:$A,0),MATCH("Team_League Table_Overall_MP",Team_Summary!$1:$1,0))</f>
        <v/>
      </c>
      <c r="CZ20" s="30">
        <f>IF(COUNTIF(CY$4:CY$23,CY20)&gt;1,"T"&amp;_xlfn.RANK.EQ(CY20,CY$4:CY$23,0),_xlfn.RANK.EQ(CY20,CY$4:CY$23,0))</f>
        <v/>
      </c>
      <c r="DA20">
        <f>INDEX(Team_Summary!$A$1:$JF$21,MATCH(_xlfn.XLOOKUP($B20,Helpers!$C$4:$C$26,Helpers!$B$4:$B$26,"",0),Team_Summary!$A:$A,0),MATCH("Team_Miscellaneous_Stats_Fls",Team_Summary!$1:$1,0))/INDEX(Team_Summary!$A$1:$JF$21,MATCH(_xlfn.XLOOKUP($B20,Helpers!$C$4:$C$26,Helpers!$B$4:$B$26,"",0),Team_Summary!$A:$A,0),MATCH("Team_League Table_Overall_MP",Team_Summary!$1:$1,0))</f>
        <v/>
      </c>
      <c r="DB20" s="30">
        <f>IF(COUNTIF(DA$4:DA$23,DA20)&gt;1,"T"&amp;_xlfn.RANK.EQ(DA20,DA$4:DA$23,1),_xlfn.RANK.EQ(DA20,DA$4:DA$23,1))</f>
        <v/>
      </c>
      <c r="DC20">
        <f>INDEX(Team_Summary!$A$1:$JF$21,MATCH(_xlfn.XLOOKUP($B20,Helpers!$C$4:$C$26,Helpers!$B$4:$B$26,"",0),Team_Summary!$A:$A,0),MATCH("Team_Miscellaneous_Stats_Fld",Team_Summary!$1:$1,0))/INDEX(Team_Summary!$A$1:$JF$21,MATCH(_xlfn.XLOOKUP($B20,Helpers!$C$4:$C$26,Helpers!$B$4:$B$26,"",0),Team_Summary!$A:$A,0),MATCH("Team_League Table_Overall_MP",Team_Summary!$1:$1,0))</f>
        <v/>
      </c>
      <c r="DD20" s="30">
        <f>IF(COUNTIF(DC$4:DC$23,DC20)&gt;1,"T"&amp;_xlfn.RANK.EQ(DC20,DC$4:DC$23,0),_xlfn.RANK.EQ(DC20,DC$4:DC$23,0))</f>
        <v/>
      </c>
      <c r="DE20">
        <f>INDEX(Team_Summary!$A$1:$JF$21,MATCH(_xlfn.XLOOKUP($B20,Helpers!$C$4:$C$26,Helpers!$B$4:$B$26,"",0),Team_Summary!$A:$A,0),MATCH("Team_Miscellaneous_Stats_Won",Team_Summary!$1:$1,0))/INDEX(Team_Summary!$A$1:$JF$21,MATCH(_xlfn.XLOOKUP($B20,Helpers!$C$4:$C$26,Helpers!$B$4:$B$26,"",0),Team_Summary!$A:$A,0),MATCH("Team_League Table_Overall_MP",Team_Summary!$1:$1,0))</f>
        <v/>
      </c>
      <c r="DF20" s="30">
        <f>IF(COUNTIF(DE$4:DE$23,DE20)&gt;1,"T"&amp;_xlfn.RANK.EQ(DE20,DE$4:DE$23,0),_xlfn.RANK.EQ(DE20,DE$4:DE$23,0))</f>
        <v/>
      </c>
      <c r="DG20">
        <f>INDEX(Team_Summary!$A$1:$JF$21,MATCH(_xlfn.XLOOKUP($B20,Helpers!$C$4:$C$26,Helpers!$B$4:$B$26,"",0),Team_Summary!$A:$A,0),MATCH("Team_Miscellaneous_Stats_Pkwon",Team_Summary!$1:$1,0))</f>
        <v/>
      </c>
      <c r="DH20" s="30">
        <f>IF(COUNTIF(DG$4:DG$23,DG20)&gt;1,"T"&amp;_xlfn.RANK.EQ(DG20,DG$4:DG$23,0),_xlfn.RANK.EQ(DG20,DG$4:DG$23,0))</f>
        <v/>
      </c>
      <c r="DI20">
        <f>INDEX(Team_Summary!$A$1:$JF$21,MATCH(_xlfn.XLOOKUP($B20,Helpers!$C$4:$C$26,Helpers!$B$4:$B$26,"",0),Team_Summary!$A:$A,0),MATCH("Team_Miscellaneous_Stats_Pkcon",Team_Summary!$1:$1,0))</f>
        <v/>
      </c>
      <c r="DJ20" s="30">
        <f>IF(COUNTIF(DI$4:DI$23,DI20)&gt;1,"T"&amp;_xlfn.RANK.EQ(DI20,DI$4:DI$23,1),_xlfn.RANK.EQ(DI20,DI$4:DI$23,1))</f>
        <v/>
      </c>
      <c r="DK20">
        <f>INDEX(Team_Summary!$A$1:$JF$21,MATCH(_xlfn.XLOOKUP($B20,Helpers!$C$4:$C$26,Helpers!$B$4:$B$26,"",0),Team_Summary!$A:$A,0),MATCH("Team_Playing_Time_Age",Team_Summary!$1:$1,0))</f>
        <v/>
      </c>
      <c r="DL20" s="30">
        <f>IF(COUNTIF(DK$4:DK$23,DK20)&gt;1,"T"&amp;_xlfn.RANK.EQ(DK20,DK$4:DK$23,1),_xlfn.RANK.EQ(DK20,DK$4:DK$23,1))</f>
        <v/>
      </c>
    </row>
    <row r="21">
      <c r="B21" t="inlineStr">
        <is>
          <t>TOT</t>
        </is>
      </c>
      <c r="C21">
        <f>INDEX(Team_Summary!$A$1:$JF$21,MATCH(_xlfn.XLOOKUP($B21,Helpers!$C$4:$C$26,Helpers!$B$4:$B$26,"",0),Team_Summary!$A:$A,0),MATCH("Team_League Table_Overall_GF",Team_Summary!$1:$1,0))</f>
        <v/>
      </c>
      <c r="D21" s="30">
        <f>IF(COUNTIF(C$4:C$23,C21)&gt;1,"T"&amp;_xlfn.RANK.EQ(C21,C$4:C$23,0),_xlfn.RANK.EQ(C21,C$4:C$23,0))</f>
        <v/>
      </c>
      <c r="E21">
        <f>INDEX(Team_Summary!$A$1:$JF$21,MATCH(_xlfn.XLOOKUP($B21,Helpers!$C$4:$C$26,Helpers!$B$4:$B$26,"",0),Team_Summary!$A:$A,0),MATCH("Team_League Table_Overall_GA",Team_Summary!$1:$1,0))</f>
        <v/>
      </c>
      <c r="F21" s="30">
        <f>IF(COUNTIF(E$4:E$23,E21)&gt;1,"T"&amp;_xlfn.RANK.EQ(E21,E$4:E$23,1),_xlfn.RANK.EQ(E21,E$4:E$23,1))</f>
        <v/>
      </c>
      <c r="G21">
        <f>INDEX(Team_Summary!$A$1:$JF$21,MATCH(_xlfn.XLOOKUP($B21,Helpers!$C$4:$C$26,Helpers!$B$4:$B$26,"",0),Team_Summary!$A:$A,0),MATCH("Team_League Table_Overall_GD",Team_Summary!$1:$1,0))</f>
        <v/>
      </c>
      <c r="H21" s="30">
        <f>IF(COUNTIF(G$4:G$23,G21)&gt;1,"T"&amp;_xlfn.RANK.EQ(G21,G$4:G$23,0),_xlfn.RANK.EQ(G21,G$4:G$23,0))</f>
        <v/>
      </c>
      <c r="I21" s="27">
        <f>G21/INDEX(Team_Summary!$A$1:$JF$21,MATCH(_xlfn.XLOOKUP($B21,Helpers!$C$4:$C$26,Helpers!$B$4:$B$26,"",0),Team_Summary!$A:$A,0),MATCH("Team_League Table_Overall_MP",Team_Summary!$1:$1,0))</f>
        <v/>
      </c>
      <c r="J21" s="30">
        <f>IF(COUNTIF(I$4:I$23,I21)&gt;1,"T"&amp;_xlfn.RANK.EQ(I21,I$4:I$23,0),_xlfn.RANK.EQ(I21,I$4:I$23,0))</f>
        <v/>
      </c>
      <c r="K21">
        <f>INDEX(Team_Summary!$A$1:$JF$21,MATCH(_xlfn.XLOOKUP($B21,Helpers!$C$4:$C$26,Helpers!$B$4:$B$26,"",0),Team_Summary!$A:$A,0),MATCH("Team_League Table_Home_W",Team_Summary!$1:$1,0))</f>
        <v/>
      </c>
      <c r="L21" s="30">
        <f>IF(COUNTIF(K$4:K$23,K21)&gt;1,"T"&amp;_xlfn.RANK.EQ(K21,K$4:K$23,0),_xlfn.RANK.EQ(K21,K$4:K$23,0))</f>
        <v/>
      </c>
      <c r="M21">
        <f>INDEX(Team_Summary!$A$1:$JF$21,MATCH(_xlfn.XLOOKUP($B21,Helpers!$C$4:$C$26,Helpers!$B$4:$B$26,"",0),Team_Summary!$A:$A,0),MATCH("Team_League Table_Away_W",Team_Summary!$1:$1,0))</f>
        <v/>
      </c>
      <c r="N21" s="30">
        <f>IF(COUNTIF(M$4:M$23,M21)&gt;1,"T"&amp;_xlfn.RANK.EQ(M21,M$4:M$23,0),_xlfn.RANK.EQ(M21,M$4:M$23,0))</f>
        <v/>
      </c>
      <c r="O21">
        <f>INDEX(Team_Summary!$A$1:$JF$21,MATCH(_xlfn.XLOOKUP($B21,Helpers!$C$4:$C$26,Helpers!$B$4:$B$26,"",0),Team_Summary!$A:$A,0),MATCH("Team_League Table_Home_D",Team_Summary!$1:$1,0))</f>
        <v/>
      </c>
      <c r="P21" s="30">
        <f>IF(COUNTIF(O$4:O$23,O21)&gt;1,"T"&amp;_xlfn.RANK.EQ(O21,O$4:O$23,1),_xlfn.RANK.EQ(O21,O$4:O$23,1))</f>
        <v/>
      </c>
      <c r="Q21">
        <f>INDEX(Team_Summary!$A$1:$JF$21,MATCH(_xlfn.XLOOKUP($B21,Helpers!$C$4:$C$26,Helpers!$B$4:$B$26,"",0),Team_Summary!$A:$A,0),MATCH("Team_League Table_Away_D",Team_Summary!$1:$1,0))</f>
        <v/>
      </c>
      <c r="R21" s="30">
        <f>IF(COUNTIF(Q$4:Q$23,Q21)&gt;1,"T"&amp;_xlfn.RANK.EQ(Q21,Q$4:Q$23,1),_xlfn.RANK.EQ(Q21,Q$4:Q$23,1))</f>
        <v/>
      </c>
      <c r="S21">
        <f>INDEX(Team_Summary!$A$1:$JF$21,MATCH(_xlfn.XLOOKUP($B21,Helpers!$C$4:$C$26,Helpers!$B$4:$B$26,"",0),Team_Summary!$A:$A,0),MATCH("Team_League Table_Home_L",Team_Summary!$1:$1,0))</f>
        <v/>
      </c>
      <c r="T21" s="30">
        <f>IF(COUNTIF(S$4:S$23,S21)&gt;1,"T"&amp;_xlfn.RANK.EQ(S21,S$4:S$23,1),_xlfn.RANK.EQ(S21,S$4:S$23,1))</f>
        <v/>
      </c>
      <c r="U21">
        <f>INDEX(Team_Summary!$A$1:$JF$21,MATCH(_xlfn.XLOOKUP($B21,Helpers!$C$4:$C$26,Helpers!$B$4:$B$26,"",0),Team_Summary!$A:$A,0),MATCH("Team_League Table_Away_L",Team_Summary!$1:$1,0))</f>
        <v/>
      </c>
      <c r="V21" s="30">
        <f>IF(COUNTIF(U$4:U$23,U21)&gt;1,"T"&amp;_xlfn.RANK.EQ(U21,U$4:U$23,1),_xlfn.RANK.EQ(U21,U$4:U$23,1))</f>
        <v/>
      </c>
      <c r="W21">
        <f>INDEX(Team_Summary!$A$1:$JF$21,MATCH(_xlfn.XLOOKUP($B21,Helpers!$C$4:$C$26,Helpers!$B$4:$B$26,"",0),Team_Summary!$A:$A,0),MATCH("Team_League Table_Home_Pts",Team_Summary!$1:$1,0))</f>
        <v/>
      </c>
      <c r="X21" s="30">
        <f>IF(COUNTIF(W$4:W$23,W21)&gt;1,"T"&amp;_xlfn.RANK.EQ(W21,W$4:W$23,0),_xlfn.RANK.EQ(W21,W$4:W$23,0))</f>
        <v/>
      </c>
      <c r="Y21">
        <f>INDEX(Team_Summary!$A$1:$JF$21,MATCH(_xlfn.XLOOKUP($B21,Helpers!$C$4:$C$26,Helpers!$B$4:$B$26,"",0),Team_Summary!$A:$A,0),MATCH("Team_League Table_Away_Pts",Team_Summary!$1:$1,0))</f>
        <v/>
      </c>
      <c r="Z21" s="30">
        <f>IF(COUNTIF(Y$4:Y$23,Y21)&gt;1,"T"&amp;_xlfn.RANK.EQ(Y21,Y$4:Y$23,0),_xlfn.RANK.EQ(Y21,Y$4:Y$23,0))</f>
        <v/>
      </c>
      <c r="AA21">
        <f>INDEX(Team_Summary!$A$1:$JF$21,MATCH(_xlfn.XLOOKUP($B21,Helpers!$C$4:$C$26,Helpers!$B$4:$B$26,"",0),Team_Summary!$A:$A,0),MATCH("Team_League Table_Home_Pts/MP",Team_Summary!$1:$1,0))</f>
        <v/>
      </c>
      <c r="AB21" s="30">
        <f>IF(COUNTIF(AA$4:AA$23,AA21)&gt;1,"T"&amp;_xlfn.RANK.EQ(AA21,AA$4:AA$23,0),_xlfn.RANK.EQ(AA21,AA$4:AA$23,0))</f>
        <v/>
      </c>
      <c r="AC21">
        <f>INDEX(Team_Summary!$A$1:$JF$21,MATCH(_xlfn.XLOOKUP($B21,Helpers!$C$4:$C$26,Helpers!$B$4:$B$26,"",0),Team_Summary!$A:$A,0),MATCH("Team_League Table_Away_Pts/MP",Team_Summary!$1:$1,0))</f>
        <v/>
      </c>
      <c r="AD21" s="30">
        <f>IF(COUNTIF(AC$4:AC$23,AC21)&gt;1,"T"&amp;_xlfn.RANK.EQ(AC21,AC$4:AC$23,0),_xlfn.RANK.EQ(AC21,AC$4:AC$23,0))</f>
        <v/>
      </c>
      <c r="AE21">
        <f>INDEX(Team_Summary!$A$1:$JF$21,MATCH(_xlfn.XLOOKUP($B21,Helpers!$C$4:$C$26,Helpers!$B$4:$B$26,"",0),Team_Summary!$A:$A,0),MATCH("Team_League Table_Overall_Pts/MP",Team_Summary!$1:$1,0))</f>
        <v/>
      </c>
      <c r="AF21" s="30">
        <f>IF(COUNTIF(AE$4:AE$23,AE21)&gt;1,"T"&amp;_xlfn.RANK.EQ(AE21,AE$4:AE$23,0),_xlfn.RANK.EQ(AE21,AE$4:AE$23,0))</f>
        <v/>
      </c>
      <c r="AG21">
        <f>INDEX(Team_Summary!$A$1:$JF$21,MATCH(_xlfn.XLOOKUP($B21,Helpers!$C$4:$C$26,Helpers!$B$4:$B$26,"",0),Team_Summary!$A:$A,0),MATCH("Team_League Table_Home_GF",Team_Summary!$1:$1,0))</f>
        <v/>
      </c>
      <c r="AH21" s="30">
        <f>IF(COUNTIF(AG$4:AG$23,AG21)&gt;1,"T"&amp;_xlfn.RANK.EQ(AG21,AG$4:AG$23,0),_xlfn.RANK.EQ(AG21,AG$4:AG$23,0))</f>
        <v/>
      </c>
      <c r="AI21">
        <f>INDEX(Team_Summary!$A$1:$JF$21,MATCH(_xlfn.XLOOKUP($B21,Helpers!$C$4:$C$26,Helpers!$B$4:$B$26,"",0),Team_Summary!$A:$A,0),MATCH("Team_League Table_Away_GF",Team_Summary!$1:$1,0))</f>
        <v/>
      </c>
      <c r="AJ21" s="30">
        <f>IF(COUNTIF(AI$4:AI$23,AI21)&gt;1,"T"&amp;_xlfn.RANK.EQ(AI21,AI$4:AI$23,0),_xlfn.RANK.EQ(AI21,AI$4:AI$23,0))</f>
        <v/>
      </c>
      <c r="AK21">
        <f>INDEX(Team_Summary!$A$1:$JF$21,MATCH(_xlfn.XLOOKUP($B21,Helpers!$C$4:$C$26,Helpers!$B$4:$B$26,"",0),Team_Summary!$A:$A,0),MATCH("Team_League Table_Home_GA",Team_Summary!$1:$1,0))</f>
        <v/>
      </c>
      <c r="AL21" s="30">
        <f>IF(COUNTIF(AK$4:AK$23,AK21)&gt;1,"T"&amp;_xlfn.RANK.EQ(AK21,AK$4:AK$23,1),_xlfn.RANK.EQ(AK21,AK$4:AK$23,1))</f>
        <v/>
      </c>
      <c r="AM21">
        <f>INDEX(Team_Summary!$A$1:$JF$21,MATCH(_xlfn.XLOOKUP($B21,Helpers!$C$4:$C$26,Helpers!$B$4:$B$26,"",0),Team_Summary!$A:$A,0),MATCH("Team_League Table_Away_GA",Team_Summary!$1:$1,0))</f>
        <v/>
      </c>
      <c r="AN21" s="30">
        <f>IF(COUNTIF(AM$4:AM$23,AM21)&gt;1,"T"&amp;_xlfn.RANK.EQ(AM21,AM$4:AM$23,1),_xlfn.RANK.EQ(AM21,AM$4:AM$23,1))</f>
        <v/>
      </c>
      <c r="AO21">
        <f>INDEX(Team_Summary!$A$1:$JF$21,MATCH(_xlfn.XLOOKUP($B21,Helpers!$C$4:$C$26,Helpers!$B$4:$B$26,"",0),Team_Summary!$A:$A,0),MATCH("Team_League Table_Home_GD",Team_Summary!$1:$1,0))</f>
        <v/>
      </c>
      <c r="AP21" s="30">
        <f>IF(COUNTIF(AO$4:AO$23,AO21)&gt;1,"T"&amp;_xlfn.RANK.EQ(AO21,AO$4:AO$23,0),_xlfn.RANK.EQ(AO21,AO$4:AO$23,0))</f>
        <v/>
      </c>
      <c r="AQ21">
        <f>INDEX(Team_Summary!$A$1:$JF$21,MATCH(_xlfn.XLOOKUP($B21,Helpers!$C$4:$C$26,Helpers!$B$4:$B$26,"",0),Team_Summary!$A:$A,0),MATCH("Team_League Table_Away_GD",Team_Summary!$1:$1,0))</f>
        <v/>
      </c>
      <c r="AR21" s="30">
        <f>IF(COUNTIF(AQ$4:AQ$23,AQ21)&gt;1,"T"&amp;_xlfn.RANK.EQ(AQ21,AQ$4:AQ$23,0),_xlfn.RANK.EQ(AQ21,AQ$4:AQ$23,0))</f>
        <v/>
      </c>
      <c r="AS21">
        <f>INDEX(Team_Summary!$A$1:$JF$21,MATCH(_xlfn.XLOOKUP($B21,Helpers!$C$4:$C$26,Helpers!$B$4:$B$26,"",0),Team_Summary!$A:$A,0),MATCH("Team_Standard_Stats_Gls",Team_Summary!$1:$1,0))</f>
        <v/>
      </c>
      <c r="AT21" s="30">
        <f>IF(COUNTIF(AS$4:AS$23,AS21)&gt;1,"T"&amp;_xlfn.RANK.EQ(AS21,AS$4:AS$23,0),_xlfn.RANK.EQ(AS21,AS$4:AS$23,0))</f>
        <v/>
      </c>
      <c r="AU21" s="27">
        <f>C21/INDEX(Team_Summary!$A$1:$JF$21,MATCH(_xlfn.XLOOKUP($B21,Helpers!$C$4:$C$26,Helpers!$B$4:$B$26,"",0),Team_Summary!$A:$A,0),MATCH("Team_League Table_Overall_MP",Team_Summary!$1:$1,0))</f>
        <v/>
      </c>
      <c r="AV21" s="30">
        <f>IF(COUNTIF(AU$4:AU$23,AU21)&gt;1,"T"&amp;_xlfn.RANK.EQ(AU21,AU$4:AU$23,0),_xlfn.RANK.EQ(AU21,AU$4:AU$23,0))</f>
        <v/>
      </c>
      <c r="AW21">
        <f>INDEX(Team_Summary!$A$1:$JF$21,MATCH(_xlfn.XLOOKUP($B21,Helpers!$C$4:$C$26,Helpers!$B$4:$B$26,"",0),Team_Summary!$A:$A,0),MATCH("Team_Standard_Stats_G-PK",Team_Summary!$1:$1,0))</f>
        <v/>
      </c>
      <c r="AX21" s="30">
        <f>IF(COUNTIF(AW$4:AW$23,AW21)&gt;1,"T"&amp;_xlfn.RANK.EQ(AW21,AW$4:AW$23,0),_xlfn.RANK.EQ(AW21,AW$4:AW$23,0))</f>
        <v/>
      </c>
      <c r="AY21">
        <f>INDEX(Team_Summary!$A$1:$JF$21,MATCH(_xlfn.XLOOKUP($B21,Helpers!$C$4:$C$26,Helpers!$B$4:$B$26,"",0),Team_Summary!$A:$A,0),MATCH("Team_Standard_Stats_PK",Team_Summary!$1:$1,0))</f>
        <v/>
      </c>
      <c r="AZ21" s="30">
        <f>IF(COUNTIF(AY$4:AY$23,AY21)&gt;1,"T"&amp;_xlfn.RANK.EQ(AY21,AY$4:AY$23,0),_xlfn.RANK.EQ(AY21,AY$4:AY$23,0))</f>
        <v/>
      </c>
      <c r="BA21">
        <f>INDEX(Team_Summary!$A$1:$JF$21,MATCH(_xlfn.XLOOKUP($B21,Helpers!$C$4:$C$26,Helpers!$B$4:$B$26,"",0),Team_Summary!$A:$A,0),MATCH("Team_Standard_Stats_Ast.1",Team_Summary!$1:$1,0))</f>
        <v/>
      </c>
      <c r="BB21" s="30">
        <f>IF(COUNTIF(BA$4:BA$23,BA21)&gt;1,"T"&amp;_xlfn.RANK.EQ(BA21,BA$4:BA$23,0),_xlfn.RANK.EQ(BA21,BA$4:BA$23,0))</f>
        <v/>
      </c>
      <c r="BC21">
        <f>INDEX(Team_Summary!$A$1:$JF$21,MATCH(_xlfn.XLOOKUP($B21,Helpers!$C$4:$C$26,Helpers!$B$4:$B$26,"",0),Team_Summary!$A:$A,0),MATCH("Team_Standard_Stats_Ast",Team_Summary!$1:$1,0))</f>
        <v/>
      </c>
      <c r="BD21" s="30">
        <f>IF(COUNTIF(BC$4:BC$23,BC21)&gt;1,"T"&amp;_xlfn.RANK.EQ(BC21,BC$4:BC$23,0),_xlfn.RANK.EQ(BC21,BC$4:BC$23,0))</f>
        <v/>
      </c>
      <c r="BE21">
        <f>INDEX(Team_Summary!$A$1:$JF$21,MATCH(_xlfn.XLOOKUP($B21,Helpers!$C$4:$C$26,Helpers!$B$4:$B$26,"",0),Team_Summary!$A:$A,0),MATCH("Team_Miscellaneous_Stats_CrdY",Team_Summary!$1:$1,0))</f>
        <v/>
      </c>
      <c r="BF21" s="30">
        <f>IF(COUNTIF(BE$4:BE$23,BE21)&gt;1,"T"&amp;_xlfn.RANK.EQ(BE21,BE$4:BE$23,1),_xlfn.RANK.EQ(BE21,BE$4:BE$23,1))</f>
        <v/>
      </c>
      <c r="BG21" s="35">
        <f>BE21/INDEX(Team_Summary!$A$1:$JF$21,MATCH(_xlfn.XLOOKUP($B21,Helpers!$C$4:$C$26,Helpers!$B$4:$B$26,"",0),Team_Summary!$A:$A,0),MATCH("Team_League Table_Overall_MP",Team_Summary!$1:$1,0))</f>
        <v/>
      </c>
      <c r="BH21" s="30">
        <f>IF(COUNTIF(BG$4:BG$23,BG21)&gt;1,"T"&amp;_xlfn.RANK.EQ(BG21,BG$4:BG$23,1),_xlfn.RANK.EQ(BG21,BG$4:BG$23,1))</f>
        <v/>
      </c>
      <c r="BI21">
        <f>INDEX(Team_Summary!$A$1:$JF$21,MATCH(_xlfn.XLOOKUP($B21,Helpers!$C$4:$C$26,Helpers!$B$4:$B$26,"",0),Team_Summary!$A:$A,0),MATCH("Team_Miscellaneous_Stats_CrdR",Team_Summary!$1:$1,0))/INDEX(Team_Summary!$A$1:$JF$21,MATCH(_xlfn.XLOOKUP($B21,Helpers!$C$4:$C$26,Helpers!$B$4:$B$26,"",0),Team_Summary!$A:$A,0),MATCH("Team_League Table_Overall_MP",Team_Summary!$1:$1,0))</f>
        <v/>
      </c>
      <c r="BJ21" s="30">
        <f>IF(COUNTIF(BI$4:BI$23,BI21)&gt;1,"T"&amp;_xlfn.RANK.EQ(BI21,BI$4:BI$23,1),_xlfn.RANK.EQ(BI21,BI$4:BI$23,1))</f>
        <v/>
      </c>
      <c r="BK21">
        <f>INDEX(Team_Summary!$A$1:$JF$21,MATCH(_xlfn.XLOOKUP($B21,Helpers!$C$4:$C$26,Helpers!$B$4:$B$26,"",0),Team_Summary!$A:$A,0),MATCH("Team_Goalkeeping_SoTA",Team_Summary!$1:$1,0))/INDEX(Team_Summary!$A$1:$JF$21,MATCH(_xlfn.XLOOKUP($B21,Helpers!$C$4:$C$26,Helpers!$B$4:$B$26,"",0),Team_Summary!$A:$A,0),MATCH("Team_League Table_Overall_MP",Team_Summary!$1:$1,0))</f>
        <v/>
      </c>
      <c r="BL21" s="30">
        <f>IF(COUNTIF(BK$4:BK$23,BK21)&gt;1,"T"&amp;_xlfn.RANK.EQ(BK21,BK$4:BK$23,1),_xlfn.RANK.EQ(BK21,BK$4:BK$23,1))</f>
        <v/>
      </c>
      <c r="BM21">
        <f>INDEX(Team_Summary!$A$1:$JF$21,MATCH(_xlfn.XLOOKUP($B21,Helpers!$C$4:$C$26,Helpers!$B$4:$B$26,"",0),Team_Summary!$A:$A,0),MATCH("Team_Goalkeeping_Save%",Team_Summary!$1:$1,0))</f>
        <v/>
      </c>
      <c r="BN21" s="30">
        <f>IF(COUNTIF(BM$4:BM$23,BM21)&gt;1,"T"&amp;_xlfn.RANK.EQ(BM21,BM$4:BM$23,0),_xlfn.RANK.EQ(BM21,BM$4:BM$23,0))</f>
        <v/>
      </c>
      <c r="BO21">
        <f>INDEX(Team_Summary!$A$1:$JF$21,MATCH(_xlfn.XLOOKUP($B21,Helpers!$C$4:$C$26,Helpers!$B$4:$B$26,"",0),Team_Summary!$A:$A,0),MATCH("Team_Goalkeeping_CS%",Team_Summary!$1:$1,0))</f>
        <v/>
      </c>
      <c r="BP21" s="30">
        <f>IF(COUNTIF(BO$4:BO$23,BO21)&gt;1,"T"&amp;_xlfn.RANK.EQ(BO21,BO$4:BO$23,0),_xlfn.RANK.EQ(BO21,BO$4:BO$23,0))</f>
        <v/>
      </c>
      <c r="BQ21">
        <f>INDEX(Team_Summary!$A$1:$JF$21,MATCH(_xlfn.XLOOKUP($B21,Helpers!$C$4:$C$26,Helpers!$B$4:$B$26,"",0),Team_Summary!$A:$A,0),MATCH("Team_Goalkeeping_Save%.1",Team_Summary!$1:$1,0))</f>
        <v/>
      </c>
      <c r="BR21" s="30">
        <f>IF(COUNTIF(BQ$4:BQ$23,BQ21)&gt;1,"T"&amp;_xlfn.RANK.EQ(BQ21,BQ$4:BQ$23,0),_xlfn.RANK.EQ(BQ21,BQ$4:BQ$23,0))</f>
        <v/>
      </c>
      <c r="BS21">
        <f>INDEX(Team_Summary!$A$1:$JF$21,MATCH(_xlfn.XLOOKUP($B21,Helpers!$C$4:$C$26,Helpers!$B$4:$B$26,"",0),Team_Summary!$A:$A,0),MATCH("Team_Advanced_Goalkeeping_FK",Team_Summary!$1:$1,0))</f>
        <v/>
      </c>
      <c r="BT21" s="30">
        <f>IF(COUNTIF(BS$4:BS$23,BS21)&gt;1,"T"&amp;_xlfn.RANK.EQ(BS21,BS$4:BS$23,1),_xlfn.RANK.EQ(BS21,BS$4:BS$23,1))</f>
        <v/>
      </c>
      <c r="BU21">
        <f>INDEX(Team_Summary!$A$1:$JF$21,MATCH(_xlfn.XLOOKUP($B21,Helpers!$C$4:$C$26,Helpers!$B$4:$B$26,"",0),Team_Summary!$A:$A,0),MATCH("Team_Advanced_Goalkeeping_CK",Team_Summary!$1:$1,0))</f>
        <v/>
      </c>
      <c r="BV21" s="30">
        <f>IF(COUNTIF(BU$4:BU$23,BU21)&gt;1,"T"&amp;_xlfn.RANK.EQ(BU21,BU$4:BU$23,1),_xlfn.RANK.EQ(BU21,BU$4:BU$23,1))</f>
        <v/>
      </c>
      <c r="BW21">
        <f>INDEX(Team_Summary!$A$1:$JF$21,MATCH(_xlfn.XLOOKUP($B21,Helpers!$C$4:$C$26,Helpers!$B$4:$B$26,"",0),Team_Summary!$A:$A,0),MATCH("Team_Advanced_Goalkeeping_Stp%",Team_Summary!$1:$1,0))</f>
        <v/>
      </c>
      <c r="BX21" s="30">
        <f>IF(COUNTIF(BW$4:BW$23,BW21)&gt;1,"T"&amp;_xlfn.RANK.EQ(BW21,BW$4:BW$23,0),_xlfn.RANK.EQ(BW21,BW$4:BW$23,0))</f>
        <v/>
      </c>
      <c r="BY21">
        <f>INDEX(Team_Summary!$A$1:$JF$21,MATCH(_xlfn.XLOOKUP($B21,Helpers!$C$4:$C$26,Helpers!$B$4:$B$26,"",0),Team_Summary!$A:$A,0),MATCH("Team_Shooting_G/SoT",Team_Summary!$1:$1,0))</f>
        <v/>
      </c>
      <c r="BZ21" s="30">
        <f>IF(COUNTIF(BY$4:BY$23,BY21)&gt;1,"T"&amp;_xlfn.RANK.EQ(BY21,BY$4:BY$23,0),_xlfn.RANK.EQ(BY21,BY$4:BY$23,0))</f>
        <v/>
      </c>
      <c r="CA21">
        <f>INDEX(Team_Summary!$A$1:$JF$21,MATCH(_xlfn.XLOOKUP($B21,Helpers!$C$4:$C$26,Helpers!$B$4:$B$26,"",0),Team_Summary!$A:$A,0),MATCH("Team_Shooting_G/Sh",Team_Summary!$1:$1,0))</f>
        <v/>
      </c>
      <c r="CB21" s="30">
        <f>IF(COUNTIF(CA$4:CA$23,CA21)&gt;1,"T"&amp;_xlfn.RANK.EQ(CA21,CA$4:CA$23,0),_xlfn.RANK.EQ(CA21,CA$4:CA$23,0))</f>
        <v/>
      </c>
      <c r="CC21">
        <f>INDEX(Team_Summary!$A$1:$JF$21,MATCH(_xlfn.XLOOKUP($B21,Helpers!$C$4:$C$26,Helpers!$B$4:$B$26,"",0),Team_Summary!$A:$A,0),MATCH("Team_Shooting_SoT",Team_Summary!$1:$1,0))/INDEX(Team_Summary!$A$1:$JF$21,MATCH(_xlfn.XLOOKUP($B21,Helpers!$C$4:$C$26,Helpers!$B$4:$B$26,"",0),Team_Summary!$A:$A,0),MATCH("Team_League Table_Overall_MP",Team_Summary!$1:$1,0))</f>
        <v/>
      </c>
      <c r="CD21" s="30">
        <f>IF(COUNTIF(CC$4:CC$23,CC21)&gt;1,"T"&amp;_xlfn.RANK.EQ(CC21,CC$4:CC$23,0),_xlfn.RANK.EQ(CC21,CC$4:CC$23,0))</f>
        <v/>
      </c>
      <c r="CE21">
        <f>INDEX(Team_Summary!$A$1:$JF$21,MATCH(_xlfn.XLOOKUP($B21,Helpers!$C$4:$C$26,Helpers!$B$4:$B$26,"",0),Team_Summary!$A:$A,0),MATCH("Team_Shooting_SoT%",Team_Summary!$1:$1,0))</f>
        <v/>
      </c>
      <c r="CF21" s="30">
        <f>IF(COUNTIF(CE$4:CE$23,CE21)&gt;1,"T"&amp;_xlfn.RANK.EQ(CE21,CE$4:CE$23,0),_xlfn.RANK.EQ(CE21,CE$4:CE$23,0))</f>
        <v/>
      </c>
      <c r="CG21">
        <f>INDEX(Team_Summary!$A$1:$JF$21,MATCH(_xlfn.XLOOKUP($B21,Helpers!$C$4:$C$26,Helpers!$B$4:$B$26,"",0),Team_Summary!$A:$A,0),MATCH("Team_Pass_Types_CK",Team_Summary!$1:$1,0))/INDEX(Team_Summary!$A$1:$JF$21,MATCH(_xlfn.XLOOKUP($B21,Helpers!$C$4:$C$26,Helpers!$B$4:$B$26,"",0),Team_Summary!$A:$A,0),MATCH("Team_League Table_Overall_MP",Team_Summary!$1:$1,0))</f>
        <v/>
      </c>
      <c r="CH21" s="30">
        <f>IF(COUNTIF(CG$4:CG$23,CG21)&gt;1,"T"&amp;_xlfn.RANK.EQ(CG21,CG$4:CG$23,0),_xlfn.RANK.EQ(CG21,CG$4:CG$23,0))</f>
        <v/>
      </c>
      <c r="CI21">
        <f>INDEX(Team_Summary!$A$1:$JF$21,MATCH(_xlfn.XLOOKUP($B21,Helpers!$C$4:$C$26,Helpers!$B$4:$B$26,"",0),Team_Summary!$A:$A,0),MATCH("Team_Miscellaneous_Stats_TklW",Team_Summary!$1:$1,0))/INDEX(Team_Summary!$A$1:$JF$21,MATCH(_xlfn.XLOOKUP($B21,Helpers!$C$4:$C$26,Helpers!$B$4:$B$26,"",0),Team_Summary!$A:$A,0),MATCH("Team_League Table_Overall_MP",Team_Summary!$1:$1,0))</f>
        <v/>
      </c>
      <c r="CJ21" s="30">
        <f>IF(COUNTIF(CI$4:CI$23,CI21)&gt;1,"T"&amp;_xlfn.RANK.EQ(CI21,CI$4:CI$23,0),_xlfn.RANK.EQ(CI21,CI$4:CI$23,0))</f>
        <v/>
      </c>
      <c r="CK21">
        <f>INDEX(Team_Summary!$A$1:$JF$21,MATCH(_xlfn.XLOOKUP($B21,Helpers!$C$4:$C$26,Helpers!$B$4:$B$26,"",0),Team_Summary!$A:$A,0),MATCH("Team_Defensive_Actions_Sh",Team_Summary!$1:$1,0))/INDEX(Team_Summary!$A$1:$JF$21,MATCH(_xlfn.XLOOKUP($B21,Helpers!$C$4:$C$26,Helpers!$B$4:$B$26,"",0),Team_Summary!$A:$A,0),MATCH("Team_League Table_Overall_MP",Team_Summary!$1:$1,0))</f>
        <v/>
      </c>
      <c r="CL21" s="30">
        <f>IF(COUNTIF(CK$4:CK$23,CK21)&gt;1,"T"&amp;_xlfn.RANK.EQ(CK21,CK$4:CK$23,0),_xlfn.RANK.EQ(CK21,CK$4:CK$23,0))</f>
        <v/>
      </c>
      <c r="CM21">
        <f>INDEX(Team_Summary!$A$1:$JF$21,MATCH(_xlfn.XLOOKUP($B21,Helpers!$C$4:$C$26,Helpers!$B$4:$B$26,"",0),Team_Summary!$A:$A,0),MATCH("Team_Defensive_Actions_Int",Team_Summary!$1:$1,0))/INDEX(Team_Summary!$A$1:$JF$21,MATCH(_xlfn.XLOOKUP($B21,Helpers!$C$4:$C$26,Helpers!$B$4:$B$26,"",0),Team_Summary!$A:$A,0),MATCH("Team_League Table_Overall_MP",Team_Summary!$1:$1,0))</f>
        <v/>
      </c>
      <c r="CN21" s="30">
        <f>IF(COUNTIF(CM$4:CM$23,CM21)&gt;1,"T"&amp;_xlfn.RANK.EQ(CM21,CM$4:CM$23,0),_xlfn.RANK.EQ(CM21,CM$4:CM$23,0))</f>
        <v/>
      </c>
      <c r="CO21">
        <f>INDEX(Team_Summary!$A$1:$JF$21,MATCH(_xlfn.XLOOKUP($B21,Helpers!$C$4:$C$26,Helpers!$B$4:$B$26,"",0),Team_Summary!$A:$A,0),MATCH("Team_Possession_Poss",Team_Summary!$1:$1,0))</f>
        <v/>
      </c>
      <c r="CP21" s="30">
        <f>IF(COUNTIF(CO$4:CO$23,CO21)&gt;1,"T"&amp;_xlfn.RANK.EQ(CO21,CO$4:CO$23,0),_xlfn.RANK.EQ(CO21,CO$4:CO$23,0))</f>
        <v/>
      </c>
      <c r="CQ21">
        <f>INDEX(Team_Summary!$A$1:$JF$21,MATCH(_xlfn.XLOOKUP($B21,Helpers!$C$4:$C$26,Helpers!$B$4:$B$26,"",0),Team_Summary!$A:$A,0),MATCH("Team_Possession_Def Pen",Team_Summary!$1:$1,0))/INDEX(Team_Summary!$A$1:$JF$21,MATCH(_xlfn.XLOOKUP($B21,Helpers!$C$4:$C$26,Helpers!$B$4:$B$26,"",0),Team_Summary!$A:$A,0),MATCH("Team_League Table_Overall_MP",Team_Summary!$1:$1,0))</f>
        <v/>
      </c>
      <c r="CR21" s="30">
        <f>IF(COUNTIF(CQ$4:CQ$23,CQ21)&gt;1,"T"&amp;_xlfn.RANK.EQ(CQ21,CQ$4:CQ$23,0),_xlfn.RANK.EQ(CQ21,CQ$4:CQ$23,0))</f>
        <v/>
      </c>
      <c r="CS21">
        <f>INDEX(Team_Summary!$A$1:$JF$21,MATCH(_xlfn.XLOOKUP($B21,Helpers!$C$4:$C$26,Helpers!$B$4:$B$26,"",0),Team_Summary!$A:$A,0),MATCH("Team_Possession_Def 3rd",Team_Summary!$1:$1,0))/INDEX(Team_Summary!$A$1:$JF$21,MATCH(_xlfn.XLOOKUP($B21,Helpers!$C$4:$C$26,Helpers!$B$4:$B$26,"",0),Team_Summary!$A:$A,0),MATCH("Team_League Table_Overall_MP",Team_Summary!$1:$1,0))</f>
        <v/>
      </c>
      <c r="CT21" s="30">
        <f>IF(COUNTIF(CS$4:CS$23,CS21)&gt;1,"T"&amp;_xlfn.RANK.EQ(CS21,CS$4:CS$23,0),_xlfn.RANK.EQ(CS21,CS$4:CS$23,0))</f>
        <v/>
      </c>
      <c r="CU21">
        <f>INDEX(Team_Summary!$A$1:$JF$21,MATCH(_xlfn.XLOOKUP($B21,Helpers!$C$4:$C$26,Helpers!$B$4:$B$26,"",0),Team_Summary!$A:$A,0),MATCH("Team_Possession_Mid 3rd",Team_Summary!$1:$1,0))/INDEX(Team_Summary!$A$1:$JF$21,MATCH(_xlfn.XLOOKUP($B21,Helpers!$C$4:$C$26,Helpers!$B$4:$B$26,"",0),Team_Summary!$A:$A,0),MATCH("Team_League Table_Overall_MP",Team_Summary!$1:$1,0))</f>
        <v/>
      </c>
      <c r="CV21" s="30">
        <f>IF(COUNTIF(CU$4:CU$23,CU21)&gt;1,"T"&amp;_xlfn.RANK.EQ(CU21,CU$4:CU$23,0),_xlfn.RANK.EQ(CU21,CU$4:CU$23,0))</f>
        <v/>
      </c>
      <c r="CW21">
        <f>INDEX(Team_Summary!$A$1:$JF$21,MATCH(_xlfn.XLOOKUP($B21,Helpers!$C$4:$C$26,Helpers!$B$4:$B$26,"",0),Team_Summary!$A:$A,0),MATCH("Team_Possession_Att 3rd",Team_Summary!$1:$1,0))/INDEX(Team_Summary!$A$1:$JF$21,MATCH(_xlfn.XLOOKUP($B21,Helpers!$C$4:$C$26,Helpers!$B$4:$B$26,"",0),Team_Summary!$A:$A,0),MATCH("Team_League Table_Overall_MP",Team_Summary!$1:$1,0))</f>
        <v/>
      </c>
      <c r="CX21" s="30">
        <f>IF(COUNTIF(CW$4:CW$23,CW21)&gt;1,"T"&amp;_xlfn.RANK.EQ(CW21,CW$4:CW$23,0),_xlfn.RANK.EQ(CW21,CW$4:CW$23,0))</f>
        <v/>
      </c>
      <c r="CY21">
        <f>INDEX(Team_Summary!$A$1:$JF$21,MATCH(_xlfn.XLOOKUP($B21,Helpers!$C$4:$C$26,Helpers!$B$4:$B$26,"",0),Team_Summary!$A:$A,0),MATCH("Team_Possession_Att Pen",Team_Summary!$1:$1,0))/INDEX(Team_Summary!$A$1:$JF$21,MATCH(_xlfn.XLOOKUP($B21,Helpers!$C$4:$C$26,Helpers!$B$4:$B$26,"",0),Team_Summary!$A:$A,0),MATCH("Team_League Table_Overall_MP",Team_Summary!$1:$1,0))</f>
        <v/>
      </c>
      <c r="CZ21" s="30">
        <f>IF(COUNTIF(CY$4:CY$23,CY21)&gt;1,"T"&amp;_xlfn.RANK.EQ(CY21,CY$4:CY$23,0),_xlfn.RANK.EQ(CY21,CY$4:CY$23,0))</f>
        <v/>
      </c>
      <c r="DA21">
        <f>INDEX(Team_Summary!$A$1:$JF$21,MATCH(_xlfn.XLOOKUP($B21,Helpers!$C$4:$C$26,Helpers!$B$4:$B$26,"",0),Team_Summary!$A:$A,0),MATCH("Team_Miscellaneous_Stats_Fls",Team_Summary!$1:$1,0))/INDEX(Team_Summary!$A$1:$JF$21,MATCH(_xlfn.XLOOKUP($B21,Helpers!$C$4:$C$26,Helpers!$B$4:$B$26,"",0),Team_Summary!$A:$A,0),MATCH("Team_League Table_Overall_MP",Team_Summary!$1:$1,0))</f>
        <v/>
      </c>
      <c r="DB21" s="30">
        <f>IF(COUNTIF(DA$4:DA$23,DA21)&gt;1,"T"&amp;_xlfn.RANK.EQ(DA21,DA$4:DA$23,1),_xlfn.RANK.EQ(DA21,DA$4:DA$23,1))</f>
        <v/>
      </c>
      <c r="DC21">
        <f>INDEX(Team_Summary!$A$1:$JF$21,MATCH(_xlfn.XLOOKUP($B21,Helpers!$C$4:$C$26,Helpers!$B$4:$B$26,"",0),Team_Summary!$A:$A,0),MATCH("Team_Miscellaneous_Stats_Fld",Team_Summary!$1:$1,0))/INDEX(Team_Summary!$A$1:$JF$21,MATCH(_xlfn.XLOOKUP($B21,Helpers!$C$4:$C$26,Helpers!$B$4:$B$26,"",0),Team_Summary!$A:$A,0),MATCH("Team_League Table_Overall_MP",Team_Summary!$1:$1,0))</f>
        <v/>
      </c>
      <c r="DD21" s="30">
        <f>IF(COUNTIF(DC$4:DC$23,DC21)&gt;1,"T"&amp;_xlfn.RANK.EQ(DC21,DC$4:DC$23,0),_xlfn.RANK.EQ(DC21,DC$4:DC$23,0))</f>
        <v/>
      </c>
      <c r="DE21">
        <f>INDEX(Team_Summary!$A$1:$JF$21,MATCH(_xlfn.XLOOKUP($B21,Helpers!$C$4:$C$26,Helpers!$B$4:$B$26,"",0),Team_Summary!$A:$A,0),MATCH("Team_Miscellaneous_Stats_Won",Team_Summary!$1:$1,0))/INDEX(Team_Summary!$A$1:$JF$21,MATCH(_xlfn.XLOOKUP($B21,Helpers!$C$4:$C$26,Helpers!$B$4:$B$26,"",0),Team_Summary!$A:$A,0),MATCH("Team_League Table_Overall_MP",Team_Summary!$1:$1,0))</f>
        <v/>
      </c>
      <c r="DF21" s="30">
        <f>IF(COUNTIF(DE$4:DE$23,DE21)&gt;1,"T"&amp;_xlfn.RANK.EQ(DE21,DE$4:DE$23,0),_xlfn.RANK.EQ(DE21,DE$4:DE$23,0))</f>
        <v/>
      </c>
      <c r="DG21">
        <f>INDEX(Team_Summary!$A$1:$JF$21,MATCH(_xlfn.XLOOKUP($B21,Helpers!$C$4:$C$26,Helpers!$B$4:$B$26,"",0),Team_Summary!$A:$A,0),MATCH("Team_Miscellaneous_Stats_Pkwon",Team_Summary!$1:$1,0))</f>
        <v/>
      </c>
      <c r="DH21" s="30">
        <f>IF(COUNTIF(DG$4:DG$23,DG21)&gt;1,"T"&amp;_xlfn.RANK.EQ(DG21,DG$4:DG$23,0),_xlfn.RANK.EQ(DG21,DG$4:DG$23,0))</f>
        <v/>
      </c>
      <c r="DI21">
        <f>INDEX(Team_Summary!$A$1:$JF$21,MATCH(_xlfn.XLOOKUP($B21,Helpers!$C$4:$C$26,Helpers!$B$4:$B$26,"",0),Team_Summary!$A:$A,0),MATCH("Team_Miscellaneous_Stats_Pkcon",Team_Summary!$1:$1,0))</f>
        <v/>
      </c>
      <c r="DJ21" s="30">
        <f>IF(COUNTIF(DI$4:DI$23,DI21)&gt;1,"T"&amp;_xlfn.RANK.EQ(DI21,DI$4:DI$23,1),_xlfn.RANK.EQ(DI21,DI$4:DI$23,1))</f>
        <v/>
      </c>
      <c r="DK21">
        <f>INDEX(Team_Summary!$A$1:$JF$21,MATCH(_xlfn.XLOOKUP($B21,Helpers!$C$4:$C$26,Helpers!$B$4:$B$26,"",0),Team_Summary!$A:$A,0),MATCH("Team_Playing_Time_Age",Team_Summary!$1:$1,0))</f>
        <v/>
      </c>
      <c r="DL21" s="30">
        <f>IF(COUNTIF(DK$4:DK$23,DK21)&gt;1,"T"&amp;_xlfn.RANK.EQ(DK21,DK$4:DK$23,1),_xlfn.RANK.EQ(DK21,DK$4:DK$23,1))</f>
        <v/>
      </c>
    </row>
    <row r="22">
      <c r="B22" t="inlineStr">
        <is>
          <t>WHU</t>
        </is>
      </c>
      <c r="C22">
        <f>INDEX(Team_Summary!$A$1:$JF$21,MATCH(_xlfn.XLOOKUP($B22,Helpers!$C$4:$C$26,Helpers!$B$4:$B$26,"",0),Team_Summary!$A:$A,0),MATCH("Team_League Table_Overall_GF",Team_Summary!$1:$1,0))</f>
        <v/>
      </c>
      <c r="D22" s="30">
        <f>IF(COUNTIF(C$4:C$23,C22)&gt;1,"T"&amp;_xlfn.RANK.EQ(C22,C$4:C$23,0),_xlfn.RANK.EQ(C22,C$4:C$23,0))</f>
        <v/>
      </c>
      <c r="E22">
        <f>INDEX(Team_Summary!$A$1:$JF$21,MATCH(_xlfn.XLOOKUP($B22,Helpers!$C$4:$C$26,Helpers!$B$4:$B$26,"",0),Team_Summary!$A:$A,0),MATCH("Team_League Table_Overall_GA",Team_Summary!$1:$1,0))</f>
        <v/>
      </c>
      <c r="F22" s="30">
        <f>IF(COUNTIF(E$4:E$23,E22)&gt;1,"T"&amp;_xlfn.RANK.EQ(E22,E$4:E$23,1),_xlfn.RANK.EQ(E22,E$4:E$23,1))</f>
        <v/>
      </c>
      <c r="G22">
        <f>INDEX(Team_Summary!$A$1:$JF$21,MATCH(_xlfn.XLOOKUP($B22,Helpers!$C$4:$C$26,Helpers!$B$4:$B$26,"",0),Team_Summary!$A:$A,0),MATCH("Team_League Table_Overall_GD",Team_Summary!$1:$1,0))</f>
        <v/>
      </c>
      <c r="H22" s="30">
        <f>IF(COUNTIF(G$4:G$23,G22)&gt;1,"T"&amp;_xlfn.RANK.EQ(G22,G$4:G$23,0),_xlfn.RANK.EQ(G22,G$4:G$23,0))</f>
        <v/>
      </c>
      <c r="I22" s="27">
        <f>G22/INDEX(Team_Summary!$A$1:$JF$21,MATCH(_xlfn.XLOOKUP($B22,Helpers!$C$4:$C$26,Helpers!$B$4:$B$26,"",0),Team_Summary!$A:$A,0),MATCH("Team_League Table_Overall_MP",Team_Summary!$1:$1,0))</f>
        <v/>
      </c>
      <c r="J22" s="30">
        <f>IF(COUNTIF(I$4:I$23,I22)&gt;1,"T"&amp;_xlfn.RANK.EQ(I22,I$4:I$23,0),_xlfn.RANK.EQ(I22,I$4:I$23,0))</f>
        <v/>
      </c>
      <c r="K22">
        <f>INDEX(Team_Summary!$A$1:$JF$21,MATCH(_xlfn.XLOOKUP($B22,Helpers!$C$4:$C$26,Helpers!$B$4:$B$26,"",0),Team_Summary!$A:$A,0),MATCH("Team_League Table_Home_W",Team_Summary!$1:$1,0))</f>
        <v/>
      </c>
      <c r="L22" s="30">
        <f>IF(COUNTIF(K$4:K$23,K22)&gt;1,"T"&amp;_xlfn.RANK.EQ(K22,K$4:K$23,0),_xlfn.RANK.EQ(K22,K$4:K$23,0))</f>
        <v/>
      </c>
      <c r="M22">
        <f>INDEX(Team_Summary!$A$1:$JF$21,MATCH(_xlfn.XLOOKUP($B22,Helpers!$C$4:$C$26,Helpers!$B$4:$B$26,"",0),Team_Summary!$A:$A,0),MATCH("Team_League Table_Away_W",Team_Summary!$1:$1,0))</f>
        <v/>
      </c>
      <c r="N22" s="30">
        <f>IF(COUNTIF(M$4:M$23,M22)&gt;1,"T"&amp;_xlfn.RANK.EQ(M22,M$4:M$23,0),_xlfn.RANK.EQ(M22,M$4:M$23,0))</f>
        <v/>
      </c>
      <c r="O22">
        <f>INDEX(Team_Summary!$A$1:$JF$21,MATCH(_xlfn.XLOOKUP($B22,Helpers!$C$4:$C$26,Helpers!$B$4:$B$26,"",0),Team_Summary!$A:$A,0),MATCH("Team_League Table_Home_D",Team_Summary!$1:$1,0))</f>
        <v/>
      </c>
      <c r="P22" s="30">
        <f>IF(COUNTIF(O$4:O$23,O22)&gt;1,"T"&amp;_xlfn.RANK.EQ(O22,O$4:O$23,1),_xlfn.RANK.EQ(O22,O$4:O$23,1))</f>
        <v/>
      </c>
      <c r="Q22">
        <f>INDEX(Team_Summary!$A$1:$JF$21,MATCH(_xlfn.XLOOKUP($B22,Helpers!$C$4:$C$26,Helpers!$B$4:$B$26,"",0),Team_Summary!$A:$A,0),MATCH("Team_League Table_Away_D",Team_Summary!$1:$1,0))</f>
        <v/>
      </c>
      <c r="R22" s="30">
        <f>IF(COUNTIF(Q$4:Q$23,Q22)&gt;1,"T"&amp;_xlfn.RANK.EQ(Q22,Q$4:Q$23,1),_xlfn.RANK.EQ(Q22,Q$4:Q$23,1))</f>
        <v/>
      </c>
      <c r="S22">
        <f>INDEX(Team_Summary!$A$1:$JF$21,MATCH(_xlfn.XLOOKUP($B22,Helpers!$C$4:$C$26,Helpers!$B$4:$B$26,"",0),Team_Summary!$A:$A,0),MATCH("Team_League Table_Home_L",Team_Summary!$1:$1,0))</f>
        <v/>
      </c>
      <c r="T22" s="30">
        <f>IF(COUNTIF(S$4:S$23,S22)&gt;1,"T"&amp;_xlfn.RANK.EQ(S22,S$4:S$23,1),_xlfn.RANK.EQ(S22,S$4:S$23,1))</f>
        <v/>
      </c>
      <c r="U22">
        <f>INDEX(Team_Summary!$A$1:$JF$21,MATCH(_xlfn.XLOOKUP($B22,Helpers!$C$4:$C$26,Helpers!$B$4:$B$26,"",0),Team_Summary!$A:$A,0),MATCH("Team_League Table_Away_L",Team_Summary!$1:$1,0))</f>
        <v/>
      </c>
      <c r="V22" s="30">
        <f>IF(COUNTIF(U$4:U$23,U22)&gt;1,"T"&amp;_xlfn.RANK.EQ(U22,U$4:U$23,1),_xlfn.RANK.EQ(U22,U$4:U$23,1))</f>
        <v/>
      </c>
      <c r="W22">
        <f>INDEX(Team_Summary!$A$1:$JF$21,MATCH(_xlfn.XLOOKUP($B22,Helpers!$C$4:$C$26,Helpers!$B$4:$B$26,"",0),Team_Summary!$A:$A,0),MATCH("Team_League Table_Home_Pts",Team_Summary!$1:$1,0))</f>
        <v/>
      </c>
      <c r="X22" s="30">
        <f>IF(COUNTIF(W$4:W$23,W22)&gt;1,"T"&amp;_xlfn.RANK.EQ(W22,W$4:W$23,0),_xlfn.RANK.EQ(W22,W$4:W$23,0))</f>
        <v/>
      </c>
      <c r="Y22">
        <f>INDEX(Team_Summary!$A$1:$JF$21,MATCH(_xlfn.XLOOKUP($B22,Helpers!$C$4:$C$26,Helpers!$B$4:$B$26,"",0),Team_Summary!$A:$A,0),MATCH("Team_League Table_Away_Pts",Team_Summary!$1:$1,0))</f>
        <v/>
      </c>
      <c r="Z22" s="30">
        <f>IF(COUNTIF(Y$4:Y$23,Y22)&gt;1,"T"&amp;_xlfn.RANK.EQ(Y22,Y$4:Y$23,0),_xlfn.RANK.EQ(Y22,Y$4:Y$23,0))</f>
        <v/>
      </c>
      <c r="AA22">
        <f>INDEX(Team_Summary!$A$1:$JF$21,MATCH(_xlfn.XLOOKUP($B22,Helpers!$C$4:$C$26,Helpers!$B$4:$B$26,"",0),Team_Summary!$A:$A,0),MATCH("Team_League Table_Home_Pts/MP",Team_Summary!$1:$1,0))</f>
        <v/>
      </c>
      <c r="AB22" s="30">
        <f>IF(COUNTIF(AA$4:AA$23,AA22)&gt;1,"T"&amp;_xlfn.RANK.EQ(AA22,AA$4:AA$23,0),_xlfn.RANK.EQ(AA22,AA$4:AA$23,0))</f>
        <v/>
      </c>
      <c r="AC22">
        <f>INDEX(Team_Summary!$A$1:$JF$21,MATCH(_xlfn.XLOOKUP($B22,Helpers!$C$4:$C$26,Helpers!$B$4:$B$26,"",0),Team_Summary!$A:$A,0),MATCH("Team_League Table_Away_Pts/MP",Team_Summary!$1:$1,0))</f>
        <v/>
      </c>
      <c r="AD22" s="30">
        <f>IF(COUNTIF(AC$4:AC$23,AC22)&gt;1,"T"&amp;_xlfn.RANK.EQ(AC22,AC$4:AC$23,0),_xlfn.RANK.EQ(AC22,AC$4:AC$23,0))</f>
        <v/>
      </c>
      <c r="AE22">
        <f>INDEX(Team_Summary!$A$1:$JF$21,MATCH(_xlfn.XLOOKUP($B22,Helpers!$C$4:$C$26,Helpers!$B$4:$B$26,"",0),Team_Summary!$A:$A,0),MATCH("Team_League Table_Overall_Pts/MP",Team_Summary!$1:$1,0))</f>
        <v/>
      </c>
      <c r="AF22" s="30">
        <f>IF(COUNTIF(AE$4:AE$23,AE22)&gt;1,"T"&amp;_xlfn.RANK.EQ(AE22,AE$4:AE$23,0),_xlfn.RANK.EQ(AE22,AE$4:AE$23,0))</f>
        <v/>
      </c>
      <c r="AG22">
        <f>INDEX(Team_Summary!$A$1:$JF$21,MATCH(_xlfn.XLOOKUP($B22,Helpers!$C$4:$C$26,Helpers!$B$4:$B$26,"",0),Team_Summary!$A:$A,0),MATCH("Team_League Table_Home_GF",Team_Summary!$1:$1,0))</f>
        <v/>
      </c>
      <c r="AH22" s="30">
        <f>IF(COUNTIF(AG$4:AG$23,AG22)&gt;1,"T"&amp;_xlfn.RANK.EQ(AG22,AG$4:AG$23,0),_xlfn.RANK.EQ(AG22,AG$4:AG$23,0))</f>
        <v/>
      </c>
      <c r="AI22">
        <f>INDEX(Team_Summary!$A$1:$JF$21,MATCH(_xlfn.XLOOKUP($B22,Helpers!$C$4:$C$26,Helpers!$B$4:$B$26,"",0),Team_Summary!$A:$A,0),MATCH("Team_League Table_Away_GF",Team_Summary!$1:$1,0))</f>
        <v/>
      </c>
      <c r="AJ22" s="30">
        <f>IF(COUNTIF(AI$4:AI$23,AI22)&gt;1,"T"&amp;_xlfn.RANK.EQ(AI22,AI$4:AI$23,0),_xlfn.RANK.EQ(AI22,AI$4:AI$23,0))</f>
        <v/>
      </c>
      <c r="AK22">
        <f>INDEX(Team_Summary!$A$1:$JF$21,MATCH(_xlfn.XLOOKUP($B22,Helpers!$C$4:$C$26,Helpers!$B$4:$B$26,"",0),Team_Summary!$A:$A,0),MATCH("Team_League Table_Home_GA",Team_Summary!$1:$1,0))</f>
        <v/>
      </c>
      <c r="AL22" s="30">
        <f>IF(COUNTIF(AK$4:AK$23,AK22)&gt;1,"T"&amp;_xlfn.RANK.EQ(AK22,AK$4:AK$23,1),_xlfn.RANK.EQ(AK22,AK$4:AK$23,1))</f>
        <v/>
      </c>
      <c r="AM22">
        <f>INDEX(Team_Summary!$A$1:$JF$21,MATCH(_xlfn.XLOOKUP($B22,Helpers!$C$4:$C$26,Helpers!$B$4:$B$26,"",0),Team_Summary!$A:$A,0),MATCH("Team_League Table_Away_GA",Team_Summary!$1:$1,0))</f>
        <v/>
      </c>
      <c r="AN22" s="30">
        <f>IF(COUNTIF(AM$4:AM$23,AM22)&gt;1,"T"&amp;_xlfn.RANK.EQ(AM22,AM$4:AM$23,1),_xlfn.RANK.EQ(AM22,AM$4:AM$23,1))</f>
        <v/>
      </c>
      <c r="AO22">
        <f>INDEX(Team_Summary!$A$1:$JF$21,MATCH(_xlfn.XLOOKUP($B22,Helpers!$C$4:$C$26,Helpers!$B$4:$B$26,"",0),Team_Summary!$A:$A,0),MATCH("Team_League Table_Home_GD",Team_Summary!$1:$1,0))</f>
        <v/>
      </c>
      <c r="AP22" s="30">
        <f>IF(COUNTIF(AO$4:AO$23,AO22)&gt;1,"T"&amp;_xlfn.RANK.EQ(AO22,AO$4:AO$23,0),_xlfn.RANK.EQ(AO22,AO$4:AO$23,0))</f>
        <v/>
      </c>
      <c r="AQ22">
        <f>INDEX(Team_Summary!$A$1:$JF$21,MATCH(_xlfn.XLOOKUP($B22,Helpers!$C$4:$C$26,Helpers!$B$4:$B$26,"",0),Team_Summary!$A:$A,0),MATCH("Team_League Table_Away_GD",Team_Summary!$1:$1,0))</f>
        <v/>
      </c>
      <c r="AR22" s="30">
        <f>IF(COUNTIF(AQ$4:AQ$23,AQ22)&gt;1,"T"&amp;_xlfn.RANK.EQ(AQ22,AQ$4:AQ$23,0),_xlfn.RANK.EQ(AQ22,AQ$4:AQ$23,0))</f>
        <v/>
      </c>
      <c r="AS22">
        <f>INDEX(Team_Summary!$A$1:$JF$21,MATCH(_xlfn.XLOOKUP($B22,Helpers!$C$4:$C$26,Helpers!$B$4:$B$26,"",0),Team_Summary!$A:$A,0),MATCH("Team_Standard_Stats_Gls",Team_Summary!$1:$1,0))</f>
        <v/>
      </c>
      <c r="AT22" s="30">
        <f>IF(COUNTIF(AS$4:AS$23,AS22)&gt;1,"T"&amp;_xlfn.RANK.EQ(AS22,AS$4:AS$23,0),_xlfn.RANK.EQ(AS22,AS$4:AS$23,0))</f>
        <v/>
      </c>
      <c r="AU22" s="27">
        <f>C22/INDEX(Team_Summary!$A$1:$JF$21,MATCH(_xlfn.XLOOKUP($B22,Helpers!$C$4:$C$26,Helpers!$B$4:$B$26,"",0),Team_Summary!$A:$A,0),MATCH("Team_League Table_Overall_MP",Team_Summary!$1:$1,0))</f>
        <v/>
      </c>
      <c r="AV22" s="30">
        <f>IF(COUNTIF(AU$4:AU$23,AU22)&gt;1,"T"&amp;_xlfn.RANK.EQ(AU22,AU$4:AU$23,0),_xlfn.RANK.EQ(AU22,AU$4:AU$23,0))</f>
        <v/>
      </c>
      <c r="AW22">
        <f>INDEX(Team_Summary!$A$1:$JF$21,MATCH(_xlfn.XLOOKUP($B22,Helpers!$C$4:$C$26,Helpers!$B$4:$B$26,"",0),Team_Summary!$A:$A,0),MATCH("Team_Standard_Stats_G-PK",Team_Summary!$1:$1,0))</f>
        <v/>
      </c>
      <c r="AX22" s="30">
        <f>IF(COUNTIF(AW$4:AW$23,AW22)&gt;1,"T"&amp;_xlfn.RANK.EQ(AW22,AW$4:AW$23,0),_xlfn.RANK.EQ(AW22,AW$4:AW$23,0))</f>
        <v/>
      </c>
      <c r="AY22">
        <f>INDEX(Team_Summary!$A$1:$JF$21,MATCH(_xlfn.XLOOKUP($B22,Helpers!$C$4:$C$26,Helpers!$B$4:$B$26,"",0),Team_Summary!$A:$A,0),MATCH("Team_Standard_Stats_PK",Team_Summary!$1:$1,0))</f>
        <v/>
      </c>
      <c r="AZ22" s="30">
        <f>IF(COUNTIF(AY$4:AY$23,AY22)&gt;1,"T"&amp;_xlfn.RANK.EQ(AY22,AY$4:AY$23,0),_xlfn.RANK.EQ(AY22,AY$4:AY$23,0))</f>
        <v/>
      </c>
      <c r="BA22">
        <f>INDEX(Team_Summary!$A$1:$JF$21,MATCH(_xlfn.XLOOKUP($B22,Helpers!$C$4:$C$26,Helpers!$B$4:$B$26,"",0),Team_Summary!$A:$A,0),MATCH("Team_Standard_Stats_Ast.1",Team_Summary!$1:$1,0))</f>
        <v/>
      </c>
      <c r="BB22" s="30">
        <f>IF(COUNTIF(BA$4:BA$23,BA22)&gt;1,"T"&amp;_xlfn.RANK.EQ(BA22,BA$4:BA$23,0),_xlfn.RANK.EQ(BA22,BA$4:BA$23,0))</f>
        <v/>
      </c>
      <c r="BC22">
        <f>INDEX(Team_Summary!$A$1:$JF$21,MATCH(_xlfn.XLOOKUP($B22,Helpers!$C$4:$C$26,Helpers!$B$4:$B$26,"",0),Team_Summary!$A:$A,0),MATCH("Team_Standard_Stats_Ast",Team_Summary!$1:$1,0))</f>
        <v/>
      </c>
      <c r="BD22" s="30">
        <f>IF(COUNTIF(BC$4:BC$23,BC22)&gt;1,"T"&amp;_xlfn.RANK.EQ(BC22,BC$4:BC$23,0),_xlfn.RANK.EQ(BC22,BC$4:BC$23,0))</f>
        <v/>
      </c>
      <c r="BE22">
        <f>INDEX(Team_Summary!$A$1:$JF$21,MATCH(_xlfn.XLOOKUP($B22,Helpers!$C$4:$C$26,Helpers!$B$4:$B$26,"",0),Team_Summary!$A:$A,0),MATCH("Team_Miscellaneous_Stats_CrdY",Team_Summary!$1:$1,0))</f>
        <v/>
      </c>
      <c r="BF22" s="30">
        <f>IF(COUNTIF(BE$4:BE$23,BE22)&gt;1,"T"&amp;_xlfn.RANK.EQ(BE22,BE$4:BE$23,1),_xlfn.RANK.EQ(BE22,BE$4:BE$23,1))</f>
        <v/>
      </c>
      <c r="BG22" s="35">
        <f>BE22/INDEX(Team_Summary!$A$1:$JF$21,MATCH(_xlfn.XLOOKUP($B22,Helpers!$C$4:$C$26,Helpers!$B$4:$B$26,"",0),Team_Summary!$A:$A,0),MATCH("Team_League Table_Overall_MP",Team_Summary!$1:$1,0))</f>
        <v/>
      </c>
      <c r="BH22" s="30">
        <f>IF(COUNTIF(BG$4:BG$23,BG22)&gt;1,"T"&amp;_xlfn.RANK.EQ(BG22,BG$4:BG$23,1),_xlfn.RANK.EQ(BG22,BG$4:BG$23,1))</f>
        <v/>
      </c>
      <c r="BI22">
        <f>INDEX(Team_Summary!$A$1:$JF$21,MATCH(_xlfn.XLOOKUP($B22,Helpers!$C$4:$C$26,Helpers!$B$4:$B$26,"",0),Team_Summary!$A:$A,0),MATCH("Team_Miscellaneous_Stats_CrdR",Team_Summary!$1:$1,0))/INDEX(Team_Summary!$A$1:$JF$21,MATCH(_xlfn.XLOOKUP($B22,Helpers!$C$4:$C$26,Helpers!$B$4:$B$26,"",0),Team_Summary!$A:$A,0),MATCH("Team_League Table_Overall_MP",Team_Summary!$1:$1,0))</f>
        <v/>
      </c>
      <c r="BJ22" s="30">
        <f>IF(COUNTIF(BI$4:BI$23,BI22)&gt;1,"T"&amp;_xlfn.RANK.EQ(BI22,BI$4:BI$23,1),_xlfn.RANK.EQ(BI22,BI$4:BI$23,1))</f>
        <v/>
      </c>
      <c r="BK22">
        <f>INDEX(Team_Summary!$A$1:$JF$21,MATCH(_xlfn.XLOOKUP($B22,Helpers!$C$4:$C$26,Helpers!$B$4:$B$26,"",0),Team_Summary!$A:$A,0),MATCH("Team_Goalkeeping_SoTA",Team_Summary!$1:$1,0))/INDEX(Team_Summary!$A$1:$JF$21,MATCH(_xlfn.XLOOKUP($B22,Helpers!$C$4:$C$26,Helpers!$B$4:$B$26,"",0),Team_Summary!$A:$A,0),MATCH("Team_League Table_Overall_MP",Team_Summary!$1:$1,0))</f>
        <v/>
      </c>
      <c r="BL22" s="30">
        <f>IF(COUNTIF(BK$4:BK$23,BK22)&gt;1,"T"&amp;_xlfn.RANK.EQ(BK22,BK$4:BK$23,1),_xlfn.RANK.EQ(BK22,BK$4:BK$23,1))</f>
        <v/>
      </c>
      <c r="BM22">
        <f>INDEX(Team_Summary!$A$1:$JF$21,MATCH(_xlfn.XLOOKUP($B22,Helpers!$C$4:$C$26,Helpers!$B$4:$B$26,"",0),Team_Summary!$A:$A,0),MATCH("Team_Goalkeeping_Save%",Team_Summary!$1:$1,0))</f>
        <v/>
      </c>
      <c r="BN22" s="30">
        <f>IF(COUNTIF(BM$4:BM$23,BM22)&gt;1,"T"&amp;_xlfn.RANK.EQ(BM22,BM$4:BM$23,0),_xlfn.RANK.EQ(BM22,BM$4:BM$23,0))</f>
        <v/>
      </c>
      <c r="BO22">
        <f>INDEX(Team_Summary!$A$1:$JF$21,MATCH(_xlfn.XLOOKUP($B22,Helpers!$C$4:$C$26,Helpers!$B$4:$B$26,"",0),Team_Summary!$A:$A,0),MATCH("Team_Goalkeeping_CS%",Team_Summary!$1:$1,0))</f>
        <v/>
      </c>
      <c r="BP22" s="30">
        <f>IF(COUNTIF(BO$4:BO$23,BO22)&gt;1,"T"&amp;_xlfn.RANK.EQ(BO22,BO$4:BO$23,0),_xlfn.RANK.EQ(BO22,BO$4:BO$23,0))</f>
        <v/>
      </c>
      <c r="BQ22">
        <f>INDEX(Team_Summary!$A$1:$JF$21,MATCH(_xlfn.XLOOKUP($B22,Helpers!$C$4:$C$26,Helpers!$B$4:$B$26,"",0),Team_Summary!$A:$A,0),MATCH("Team_Goalkeeping_Save%.1",Team_Summary!$1:$1,0))</f>
        <v/>
      </c>
      <c r="BR22" s="30">
        <f>IF(COUNTIF(BQ$4:BQ$23,BQ22)&gt;1,"T"&amp;_xlfn.RANK.EQ(BQ22,BQ$4:BQ$23,0),_xlfn.RANK.EQ(BQ22,BQ$4:BQ$23,0))</f>
        <v/>
      </c>
      <c r="BS22">
        <f>INDEX(Team_Summary!$A$1:$JF$21,MATCH(_xlfn.XLOOKUP($B22,Helpers!$C$4:$C$26,Helpers!$B$4:$B$26,"",0),Team_Summary!$A:$A,0),MATCH("Team_Advanced_Goalkeeping_FK",Team_Summary!$1:$1,0))</f>
        <v/>
      </c>
      <c r="BT22" s="30">
        <f>IF(COUNTIF(BS$4:BS$23,BS22)&gt;1,"T"&amp;_xlfn.RANK.EQ(BS22,BS$4:BS$23,1),_xlfn.RANK.EQ(BS22,BS$4:BS$23,1))</f>
        <v/>
      </c>
      <c r="BU22">
        <f>INDEX(Team_Summary!$A$1:$JF$21,MATCH(_xlfn.XLOOKUP($B22,Helpers!$C$4:$C$26,Helpers!$B$4:$B$26,"",0),Team_Summary!$A:$A,0),MATCH("Team_Advanced_Goalkeeping_CK",Team_Summary!$1:$1,0))</f>
        <v/>
      </c>
      <c r="BV22" s="30">
        <f>IF(COUNTIF(BU$4:BU$23,BU22)&gt;1,"T"&amp;_xlfn.RANK.EQ(BU22,BU$4:BU$23,1),_xlfn.RANK.EQ(BU22,BU$4:BU$23,1))</f>
        <v/>
      </c>
      <c r="BW22">
        <f>INDEX(Team_Summary!$A$1:$JF$21,MATCH(_xlfn.XLOOKUP($B22,Helpers!$C$4:$C$26,Helpers!$B$4:$B$26,"",0),Team_Summary!$A:$A,0),MATCH("Team_Advanced_Goalkeeping_Stp%",Team_Summary!$1:$1,0))</f>
        <v/>
      </c>
      <c r="BX22" s="30">
        <f>IF(COUNTIF(BW$4:BW$23,BW22)&gt;1,"T"&amp;_xlfn.RANK.EQ(BW22,BW$4:BW$23,0),_xlfn.RANK.EQ(BW22,BW$4:BW$23,0))</f>
        <v/>
      </c>
      <c r="BY22">
        <f>INDEX(Team_Summary!$A$1:$JF$21,MATCH(_xlfn.XLOOKUP($B22,Helpers!$C$4:$C$26,Helpers!$B$4:$B$26,"",0),Team_Summary!$A:$A,0),MATCH("Team_Shooting_G/SoT",Team_Summary!$1:$1,0))</f>
        <v/>
      </c>
      <c r="BZ22" s="30">
        <f>IF(COUNTIF(BY$4:BY$23,BY22)&gt;1,"T"&amp;_xlfn.RANK.EQ(BY22,BY$4:BY$23,0),_xlfn.RANK.EQ(BY22,BY$4:BY$23,0))</f>
        <v/>
      </c>
      <c r="CA22">
        <f>INDEX(Team_Summary!$A$1:$JF$21,MATCH(_xlfn.XLOOKUP($B22,Helpers!$C$4:$C$26,Helpers!$B$4:$B$26,"",0),Team_Summary!$A:$A,0),MATCH("Team_Shooting_G/Sh",Team_Summary!$1:$1,0))</f>
        <v/>
      </c>
      <c r="CB22" s="30">
        <f>IF(COUNTIF(CA$4:CA$23,CA22)&gt;1,"T"&amp;_xlfn.RANK.EQ(CA22,CA$4:CA$23,0),_xlfn.RANK.EQ(CA22,CA$4:CA$23,0))</f>
        <v/>
      </c>
      <c r="CC22">
        <f>INDEX(Team_Summary!$A$1:$JF$21,MATCH(_xlfn.XLOOKUP($B22,Helpers!$C$4:$C$26,Helpers!$B$4:$B$26,"",0),Team_Summary!$A:$A,0),MATCH("Team_Shooting_SoT",Team_Summary!$1:$1,0))/INDEX(Team_Summary!$A$1:$JF$21,MATCH(_xlfn.XLOOKUP($B22,Helpers!$C$4:$C$26,Helpers!$B$4:$B$26,"",0),Team_Summary!$A:$A,0),MATCH("Team_League Table_Overall_MP",Team_Summary!$1:$1,0))</f>
        <v/>
      </c>
      <c r="CD22" s="30">
        <f>IF(COUNTIF(CC$4:CC$23,CC22)&gt;1,"T"&amp;_xlfn.RANK.EQ(CC22,CC$4:CC$23,0),_xlfn.RANK.EQ(CC22,CC$4:CC$23,0))</f>
        <v/>
      </c>
      <c r="CE22">
        <f>INDEX(Team_Summary!$A$1:$JF$21,MATCH(_xlfn.XLOOKUP($B22,Helpers!$C$4:$C$26,Helpers!$B$4:$B$26,"",0),Team_Summary!$A:$A,0),MATCH("Team_Shooting_SoT%",Team_Summary!$1:$1,0))</f>
        <v/>
      </c>
      <c r="CF22" s="30">
        <f>IF(COUNTIF(CE$4:CE$23,CE22)&gt;1,"T"&amp;_xlfn.RANK.EQ(CE22,CE$4:CE$23,0),_xlfn.RANK.EQ(CE22,CE$4:CE$23,0))</f>
        <v/>
      </c>
      <c r="CG22">
        <f>INDEX(Team_Summary!$A$1:$JF$21,MATCH(_xlfn.XLOOKUP($B22,Helpers!$C$4:$C$26,Helpers!$B$4:$B$26,"",0),Team_Summary!$A:$A,0),MATCH("Team_Pass_Types_CK",Team_Summary!$1:$1,0))/INDEX(Team_Summary!$A$1:$JF$21,MATCH(_xlfn.XLOOKUP($B22,Helpers!$C$4:$C$26,Helpers!$B$4:$B$26,"",0),Team_Summary!$A:$A,0),MATCH("Team_League Table_Overall_MP",Team_Summary!$1:$1,0))</f>
        <v/>
      </c>
      <c r="CH22" s="30">
        <f>IF(COUNTIF(CG$4:CG$23,CG22)&gt;1,"T"&amp;_xlfn.RANK.EQ(CG22,CG$4:CG$23,0),_xlfn.RANK.EQ(CG22,CG$4:CG$23,0))</f>
        <v/>
      </c>
      <c r="CI22">
        <f>INDEX(Team_Summary!$A$1:$JF$21,MATCH(_xlfn.XLOOKUP($B22,Helpers!$C$4:$C$26,Helpers!$B$4:$B$26,"",0),Team_Summary!$A:$A,0),MATCH("Team_Miscellaneous_Stats_TklW",Team_Summary!$1:$1,0))/INDEX(Team_Summary!$A$1:$JF$21,MATCH(_xlfn.XLOOKUP($B22,Helpers!$C$4:$C$26,Helpers!$B$4:$B$26,"",0),Team_Summary!$A:$A,0),MATCH("Team_League Table_Overall_MP",Team_Summary!$1:$1,0))</f>
        <v/>
      </c>
      <c r="CJ22" s="30">
        <f>IF(COUNTIF(CI$4:CI$23,CI22)&gt;1,"T"&amp;_xlfn.RANK.EQ(CI22,CI$4:CI$23,0),_xlfn.RANK.EQ(CI22,CI$4:CI$23,0))</f>
        <v/>
      </c>
      <c r="CK22">
        <f>INDEX(Team_Summary!$A$1:$JF$21,MATCH(_xlfn.XLOOKUP($B22,Helpers!$C$4:$C$26,Helpers!$B$4:$B$26,"",0),Team_Summary!$A:$A,0),MATCH("Team_Defensive_Actions_Sh",Team_Summary!$1:$1,0))/INDEX(Team_Summary!$A$1:$JF$21,MATCH(_xlfn.XLOOKUP($B22,Helpers!$C$4:$C$26,Helpers!$B$4:$B$26,"",0),Team_Summary!$A:$A,0),MATCH("Team_League Table_Overall_MP",Team_Summary!$1:$1,0))</f>
        <v/>
      </c>
      <c r="CL22" s="30">
        <f>IF(COUNTIF(CK$4:CK$23,CK22)&gt;1,"T"&amp;_xlfn.RANK.EQ(CK22,CK$4:CK$23,0),_xlfn.RANK.EQ(CK22,CK$4:CK$23,0))</f>
        <v/>
      </c>
      <c r="CM22">
        <f>INDEX(Team_Summary!$A$1:$JF$21,MATCH(_xlfn.XLOOKUP($B22,Helpers!$C$4:$C$26,Helpers!$B$4:$B$26,"",0),Team_Summary!$A:$A,0),MATCH("Team_Defensive_Actions_Int",Team_Summary!$1:$1,0))/INDEX(Team_Summary!$A$1:$JF$21,MATCH(_xlfn.XLOOKUP($B22,Helpers!$C$4:$C$26,Helpers!$B$4:$B$26,"",0),Team_Summary!$A:$A,0),MATCH("Team_League Table_Overall_MP",Team_Summary!$1:$1,0))</f>
        <v/>
      </c>
      <c r="CN22" s="30">
        <f>IF(COUNTIF(CM$4:CM$23,CM22)&gt;1,"T"&amp;_xlfn.RANK.EQ(CM22,CM$4:CM$23,0),_xlfn.RANK.EQ(CM22,CM$4:CM$23,0))</f>
        <v/>
      </c>
      <c r="CO22">
        <f>INDEX(Team_Summary!$A$1:$JF$21,MATCH(_xlfn.XLOOKUP($B22,Helpers!$C$4:$C$26,Helpers!$B$4:$B$26,"",0),Team_Summary!$A:$A,0),MATCH("Team_Possession_Poss",Team_Summary!$1:$1,0))</f>
        <v/>
      </c>
      <c r="CP22" s="30">
        <f>IF(COUNTIF(CO$4:CO$23,CO22)&gt;1,"T"&amp;_xlfn.RANK.EQ(CO22,CO$4:CO$23,0),_xlfn.RANK.EQ(CO22,CO$4:CO$23,0))</f>
        <v/>
      </c>
      <c r="CQ22">
        <f>INDEX(Team_Summary!$A$1:$JF$21,MATCH(_xlfn.XLOOKUP($B22,Helpers!$C$4:$C$26,Helpers!$B$4:$B$26,"",0),Team_Summary!$A:$A,0),MATCH("Team_Possession_Def Pen",Team_Summary!$1:$1,0))/INDEX(Team_Summary!$A$1:$JF$21,MATCH(_xlfn.XLOOKUP($B22,Helpers!$C$4:$C$26,Helpers!$B$4:$B$26,"",0),Team_Summary!$A:$A,0),MATCH("Team_League Table_Overall_MP",Team_Summary!$1:$1,0))</f>
        <v/>
      </c>
      <c r="CR22" s="30">
        <f>IF(COUNTIF(CQ$4:CQ$23,CQ22)&gt;1,"T"&amp;_xlfn.RANK.EQ(CQ22,CQ$4:CQ$23,0),_xlfn.RANK.EQ(CQ22,CQ$4:CQ$23,0))</f>
        <v/>
      </c>
      <c r="CS22">
        <f>INDEX(Team_Summary!$A$1:$JF$21,MATCH(_xlfn.XLOOKUP($B22,Helpers!$C$4:$C$26,Helpers!$B$4:$B$26,"",0),Team_Summary!$A:$A,0),MATCH("Team_Possession_Def 3rd",Team_Summary!$1:$1,0))/INDEX(Team_Summary!$A$1:$JF$21,MATCH(_xlfn.XLOOKUP($B22,Helpers!$C$4:$C$26,Helpers!$B$4:$B$26,"",0),Team_Summary!$A:$A,0),MATCH("Team_League Table_Overall_MP",Team_Summary!$1:$1,0))</f>
        <v/>
      </c>
      <c r="CT22" s="30">
        <f>IF(COUNTIF(CS$4:CS$23,CS22)&gt;1,"T"&amp;_xlfn.RANK.EQ(CS22,CS$4:CS$23,0),_xlfn.RANK.EQ(CS22,CS$4:CS$23,0))</f>
        <v/>
      </c>
      <c r="CU22">
        <f>INDEX(Team_Summary!$A$1:$JF$21,MATCH(_xlfn.XLOOKUP($B22,Helpers!$C$4:$C$26,Helpers!$B$4:$B$26,"",0),Team_Summary!$A:$A,0),MATCH("Team_Possession_Mid 3rd",Team_Summary!$1:$1,0))/INDEX(Team_Summary!$A$1:$JF$21,MATCH(_xlfn.XLOOKUP($B22,Helpers!$C$4:$C$26,Helpers!$B$4:$B$26,"",0),Team_Summary!$A:$A,0),MATCH("Team_League Table_Overall_MP",Team_Summary!$1:$1,0))</f>
        <v/>
      </c>
      <c r="CV22" s="30">
        <f>IF(COUNTIF(CU$4:CU$23,CU22)&gt;1,"T"&amp;_xlfn.RANK.EQ(CU22,CU$4:CU$23,0),_xlfn.RANK.EQ(CU22,CU$4:CU$23,0))</f>
        <v/>
      </c>
      <c r="CW22">
        <f>INDEX(Team_Summary!$A$1:$JF$21,MATCH(_xlfn.XLOOKUP($B22,Helpers!$C$4:$C$26,Helpers!$B$4:$B$26,"",0),Team_Summary!$A:$A,0),MATCH("Team_Possession_Att 3rd",Team_Summary!$1:$1,0))/INDEX(Team_Summary!$A$1:$JF$21,MATCH(_xlfn.XLOOKUP($B22,Helpers!$C$4:$C$26,Helpers!$B$4:$B$26,"",0),Team_Summary!$A:$A,0),MATCH("Team_League Table_Overall_MP",Team_Summary!$1:$1,0))</f>
        <v/>
      </c>
      <c r="CX22" s="30">
        <f>IF(COUNTIF(CW$4:CW$23,CW22)&gt;1,"T"&amp;_xlfn.RANK.EQ(CW22,CW$4:CW$23,0),_xlfn.RANK.EQ(CW22,CW$4:CW$23,0))</f>
        <v/>
      </c>
      <c r="CY22">
        <f>INDEX(Team_Summary!$A$1:$JF$21,MATCH(_xlfn.XLOOKUP($B22,Helpers!$C$4:$C$26,Helpers!$B$4:$B$26,"",0),Team_Summary!$A:$A,0),MATCH("Team_Possession_Att Pen",Team_Summary!$1:$1,0))/INDEX(Team_Summary!$A$1:$JF$21,MATCH(_xlfn.XLOOKUP($B22,Helpers!$C$4:$C$26,Helpers!$B$4:$B$26,"",0),Team_Summary!$A:$A,0),MATCH("Team_League Table_Overall_MP",Team_Summary!$1:$1,0))</f>
        <v/>
      </c>
      <c r="CZ22" s="30">
        <f>IF(COUNTIF(CY$4:CY$23,CY22)&gt;1,"T"&amp;_xlfn.RANK.EQ(CY22,CY$4:CY$23,0),_xlfn.RANK.EQ(CY22,CY$4:CY$23,0))</f>
        <v/>
      </c>
      <c r="DA22">
        <f>INDEX(Team_Summary!$A$1:$JF$21,MATCH(_xlfn.XLOOKUP($B22,Helpers!$C$4:$C$26,Helpers!$B$4:$B$26,"",0),Team_Summary!$A:$A,0),MATCH("Team_Miscellaneous_Stats_Fls",Team_Summary!$1:$1,0))/INDEX(Team_Summary!$A$1:$JF$21,MATCH(_xlfn.XLOOKUP($B22,Helpers!$C$4:$C$26,Helpers!$B$4:$B$26,"",0),Team_Summary!$A:$A,0),MATCH("Team_League Table_Overall_MP",Team_Summary!$1:$1,0))</f>
        <v/>
      </c>
      <c r="DB22" s="30">
        <f>IF(COUNTIF(DA$4:DA$23,DA22)&gt;1,"T"&amp;_xlfn.RANK.EQ(DA22,DA$4:DA$23,1),_xlfn.RANK.EQ(DA22,DA$4:DA$23,1))</f>
        <v/>
      </c>
      <c r="DC22">
        <f>INDEX(Team_Summary!$A$1:$JF$21,MATCH(_xlfn.XLOOKUP($B22,Helpers!$C$4:$C$26,Helpers!$B$4:$B$26,"",0),Team_Summary!$A:$A,0),MATCH("Team_Miscellaneous_Stats_Fld",Team_Summary!$1:$1,0))/INDEX(Team_Summary!$A$1:$JF$21,MATCH(_xlfn.XLOOKUP($B22,Helpers!$C$4:$C$26,Helpers!$B$4:$B$26,"",0),Team_Summary!$A:$A,0),MATCH("Team_League Table_Overall_MP",Team_Summary!$1:$1,0))</f>
        <v/>
      </c>
      <c r="DD22" s="30">
        <f>IF(COUNTIF(DC$4:DC$23,DC22)&gt;1,"T"&amp;_xlfn.RANK.EQ(DC22,DC$4:DC$23,0),_xlfn.RANK.EQ(DC22,DC$4:DC$23,0))</f>
        <v/>
      </c>
      <c r="DE22">
        <f>INDEX(Team_Summary!$A$1:$JF$21,MATCH(_xlfn.XLOOKUP($B22,Helpers!$C$4:$C$26,Helpers!$B$4:$B$26,"",0),Team_Summary!$A:$A,0),MATCH("Team_Miscellaneous_Stats_Won",Team_Summary!$1:$1,0))/INDEX(Team_Summary!$A$1:$JF$21,MATCH(_xlfn.XLOOKUP($B22,Helpers!$C$4:$C$26,Helpers!$B$4:$B$26,"",0),Team_Summary!$A:$A,0),MATCH("Team_League Table_Overall_MP",Team_Summary!$1:$1,0))</f>
        <v/>
      </c>
      <c r="DF22" s="30">
        <f>IF(COUNTIF(DE$4:DE$23,DE22)&gt;1,"T"&amp;_xlfn.RANK.EQ(DE22,DE$4:DE$23,0),_xlfn.RANK.EQ(DE22,DE$4:DE$23,0))</f>
        <v/>
      </c>
      <c r="DG22">
        <f>INDEX(Team_Summary!$A$1:$JF$21,MATCH(_xlfn.XLOOKUP($B22,Helpers!$C$4:$C$26,Helpers!$B$4:$B$26,"",0),Team_Summary!$A:$A,0),MATCH("Team_Miscellaneous_Stats_Pkwon",Team_Summary!$1:$1,0))</f>
        <v/>
      </c>
      <c r="DH22" s="30">
        <f>IF(COUNTIF(DG$4:DG$23,DG22)&gt;1,"T"&amp;_xlfn.RANK.EQ(DG22,DG$4:DG$23,0),_xlfn.RANK.EQ(DG22,DG$4:DG$23,0))</f>
        <v/>
      </c>
      <c r="DI22">
        <f>INDEX(Team_Summary!$A$1:$JF$21,MATCH(_xlfn.XLOOKUP($B22,Helpers!$C$4:$C$26,Helpers!$B$4:$B$26,"",0),Team_Summary!$A:$A,0),MATCH("Team_Miscellaneous_Stats_Pkcon",Team_Summary!$1:$1,0))</f>
        <v/>
      </c>
      <c r="DJ22" s="30">
        <f>IF(COUNTIF(DI$4:DI$23,DI22)&gt;1,"T"&amp;_xlfn.RANK.EQ(DI22,DI$4:DI$23,1),_xlfn.RANK.EQ(DI22,DI$4:DI$23,1))</f>
        <v/>
      </c>
      <c r="DK22">
        <f>INDEX(Team_Summary!$A$1:$JF$21,MATCH(_xlfn.XLOOKUP($B22,Helpers!$C$4:$C$26,Helpers!$B$4:$B$26,"",0),Team_Summary!$A:$A,0),MATCH("Team_Playing_Time_Age",Team_Summary!$1:$1,0))</f>
        <v/>
      </c>
      <c r="DL22" s="30">
        <f>IF(COUNTIF(DK$4:DK$23,DK22)&gt;1,"T"&amp;_xlfn.RANK.EQ(DK22,DK$4:DK$23,1),_xlfn.RANK.EQ(DK22,DK$4:DK$23,1))</f>
        <v/>
      </c>
    </row>
    <row r="23">
      <c r="B23" t="inlineStr">
        <is>
          <t>WOL</t>
        </is>
      </c>
      <c r="C23">
        <f>INDEX(Team_Summary!$A$1:$JF$21,MATCH(_xlfn.XLOOKUP($B23,Helpers!$C$4:$C$26,Helpers!$B$4:$B$26,"",0),Team_Summary!$A:$A,0),MATCH("Team_League Table_Overall_GF",Team_Summary!$1:$1,0))</f>
        <v/>
      </c>
      <c r="D23" s="30">
        <f>IF(COUNTIF(C$4:C$23,C23)&gt;1,"T"&amp;_xlfn.RANK.EQ(C23,C$4:C$23,0),_xlfn.RANK.EQ(C23,C$4:C$23,0))</f>
        <v/>
      </c>
      <c r="E23">
        <f>INDEX(Team_Summary!$A$1:$JF$21,MATCH(_xlfn.XLOOKUP($B23,Helpers!$C$4:$C$26,Helpers!$B$4:$B$26,"",0),Team_Summary!$A:$A,0),MATCH("Team_League Table_Overall_GA",Team_Summary!$1:$1,0))</f>
        <v/>
      </c>
      <c r="F23" s="30">
        <f>IF(COUNTIF(E$4:E$23,E23)&gt;1,"T"&amp;_xlfn.RANK.EQ(E23,E$4:E$23,1),_xlfn.RANK.EQ(E23,E$4:E$23,1))</f>
        <v/>
      </c>
      <c r="G23">
        <f>INDEX(Team_Summary!$A$1:$JF$21,MATCH(_xlfn.XLOOKUP($B23,Helpers!$C$4:$C$26,Helpers!$B$4:$B$26,"",0),Team_Summary!$A:$A,0),MATCH("Team_League Table_Overall_GD",Team_Summary!$1:$1,0))</f>
        <v/>
      </c>
      <c r="H23" s="30">
        <f>IF(COUNTIF(G$4:G$23,G23)&gt;1,"T"&amp;_xlfn.RANK.EQ(G23,G$4:G$23,0),_xlfn.RANK.EQ(G23,G$4:G$23,0))</f>
        <v/>
      </c>
      <c r="I23" s="27">
        <f>G23/INDEX(Team_Summary!$A$1:$JF$21,MATCH(_xlfn.XLOOKUP($B23,Helpers!$C$4:$C$26,Helpers!$B$4:$B$26,"",0),Team_Summary!$A:$A,0),MATCH("Team_League Table_Overall_MP",Team_Summary!$1:$1,0))</f>
        <v/>
      </c>
      <c r="J23" s="30">
        <f>IF(COUNTIF(I$4:I$23,I23)&gt;1,"T"&amp;_xlfn.RANK.EQ(I23,I$4:I$23,0),_xlfn.RANK.EQ(I23,I$4:I$23,0))</f>
        <v/>
      </c>
      <c r="K23">
        <f>INDEX(Team_Summary!$A$1:$JF$21,MATCH(_xlfn.XLOOKUP($B23,Helpers!$C$4:$C$26,Helpers!$B$4:$B$26,"",0),Team_Summary!$A:$A,0),MATCH("Team_League Table_Home_W",Team_Summary!$1:$1,0))</f>
        <v/>
      </c>
      <c r="L23" s="30">
        <f>IF(COUNTIF(K$4:K$23,K23)&gt;1,"T"&amp;_xlfn.RANK.EQ(K23,K$4:K$23,0),_xlfn.RANK.EQ(K23,K$4:K$23,0))</f>
        <v/>
      </c>
      <c r="M23">
        <f>INDEX(Team_Summary!$A$1:$JF$21,MATCH(_xlfn.XLOOKUP($B23,Helpers!$C$4:$C$26,Helpers!$B$4:$B$26,"",0),Team_Summary!$A:$A,0),MATCH("Team_League Table_Away_W",Team_Summary!$1:$1,0))</f>
        <v/>
      </c>
      <c r="N23" s="30">
        <f>IF(COUNTIF(M$4:M$23,M23)&gt;1,"T"&amp;_xlfn.RANK.EQ(M23,M$4:M$23,0),_xlfn.RANK.EQ(M23,M$4:M$23,0))</f>
        <v/>
      </c>
      <c r="O23">
        <f>INDEX(Team_Summary!$A$1:$JF$21,MATCH(_xlfn.XLOOKUP($B23,Helpers!$C$4:$C$26,Helpers!$B$4:$B$26,"",0),Team_Summary!$A:$A,0),MATCH("Team_League Table_Home_D",Team_Summary!$1:$1,0))</f>
        <v/>
      </c>
      <c r="P23" s="30">
        <f>IF(COUNTIF(O$4:O$23,O23)&gt;1,"T"&amp;_xlfn.RANK.EQ(O23,O$4:O$23,1),_xlfn.RANK.EQ(O23,O$4:O$23,1))</f>
        <v/>
      </c>
      <c r="Q23">
        <f>INDEX(Team_Summary!$A$1:$JF$21,MATCH(_xlfn.XLOOKUP($B23,Helpers!$C$4:$C$26,Helpers!$B$4:$B$26,"",0),Team_Summary!$A:$A,0),MATCH("Team_League Table_Away_D",Team_Summary!$1:$1,0))</f>
        <v/>
      </c>
      <c r="R23" s="30">
        <f>IF(COUNTIF(Q$4:Q$23,Q23)&gt;1,"T"&amp;_xlfn.RANK.EQ(Q23,Q$4:Q$23,1),_xlfn.RANK.EQ(Q23,Q$4:Q$23,1))</f>
        <v/>
      </c>
      <c r="S23">
        <f>INDEX(Team_Summary!$A$1:$JF$21,MATCH(_xlfn.XLOOKUP($B23,Helpers!$C$4:$C$26,Helpers!$B$4:$B$26,"",0),Team_Summary!$A:$A,0),MATCH("Team_League Table_Home_L",Team_Summary!$1:$1,0))</f>
        <v/>
      </c>
      <c r="T23" s="30">
        <f>IF(COUNTIF(S$4:S$23,S23)&gt;1,"T"&amp;_xlfn.RANK.EQ(S23,S$4:S$23,1),_xlfn.RANK.EQ(S23,S$4:S$23,1))</f>
        <v/>
      </c>
      <c r="U23">
        <f>INDEX(Team_Summary!$A$1:$JF$21,MATCH(_xlfn.XLOOKUP($B23,Helpers!$C$4:$C$26,Helpers!$B$4:$B$26,"",0),Team_Summary!$A:$A,0),MATCH("Team_League Table_Away_L",Team_Summary!$1:$1,0))</f>
        <v/>
      </c>
      <c r="V23" s="30">
        <f>IF(COUNTIF(U$4:U$23,U23)&gt;1,"T"&amp;_xlfn.RANK.EQ(U23,U$4:U$23,1),_xlfn.RANK.EQ(U23,U$4:U$23,1))</f>
        <v/>
      </c>
      <c r="W23">
        <f>INDEX(Team_Summary!$A$1:$JF$21,MATCH(_xlfn.XLOOKUP($B23,Helpers!$C$4:$C$26,Helpers!$B$4:$B$26,"",0),Team_Summary!$A:$A,0),MATCH("Team_League Table_Home_Pts",Team_Summary!$1:$1,0))</f>
        <v/>
      </c>
      <c r="X23" s="30">
        <f>IF(COUNTIF(W$4:W$23,W23)&gt;1,"T"&amp;_xlfn.RANK.EQ(W23,W$4:W$23,0),_xlfn.RANK.EQ(W23,W$4:W$23,0))</f>
        <v/>
      </c>
      <c r="Y23">
        <f>INDEX(Team_Summary!$A$1:$JF$21,MATCH(_xlfn.XLOOKUP($B23,Helpers!$C$4:$C$26,Helpers!$B$4:$B$26,"",0),Team_Summary!$A:$A,0),MATCH("Team_League Table_Away_Pts",Team_Summary!$1:$1,0))</f>
        <v/>
      </c>
      <c r="Z23" s="30">
        <f>IF(COUNTIF(Y$4:Y$23,Y23)&gt;1,"T"&amp;_xlfn.RANK.EQ(Y23,Y$4:Y$23,0),_xlfn.RANK.EQ(Y23,Y$4:Y$23,0))</f>
        <v/>
      </c>
      <c r="AA23">
        <f>INDEX(Team_Summary!$A$1:$JF$21,MATCH(_xlfn.XLOOKUP($B23,Helpers!$C$4:$C$26,Helpers!$B$4:$B$26,"",0),Team_Summary!$A:$A,0),MATCH("Team_League Table_Home_Pts/MP",Team_Summary!$1:$1,0))</f>
        <v/>
      </c>
      <c r="AB23" s="30">
        <f>IF(COUNTIF(AA$4:AA$23,AA23)&gt;1,"T"&amp;_xlfn.RANK.EQ(AA23,AA$4:AA$23,0),_xlfn.RANK.EQ(AA23,AA$4:AA$23,0))</f>
        <v/>
      </c>
      <c r="AC23">
        <f>INDEX(Team_Summary!$A$1:$JF$21,MATCH(_xlfn.XLOOKUP($B23,Helpers!$C$4:$C$26,Helpers!$B$4:$B$26,"",0),Team_Summary!$A:$A,0),MATCH("Team_League Table_Away_Pts/MP",Team_Summary!$1:$1,0))</f>
        <v/>
      </c>
      <c r="AD23" s="30">
        <f>IF(COUNTIF(AC$4:AC$23,AC23)&gt;1,"T"&amp;_xlfn.RANK.EQ(AC23,AC$4:AC$23,0),_xlfn.RANK.EQ(AC23,AC$4:AC$23,0))</f>
        <v/>
      </c>
      <c r="AE23">
        <f>INDEX(Team_Summary!$A$1:$JF$21,MATCH(_xlfn.XLOOKUP($B23,Helpers!$C$4:$C$26,Helpers!$B$4:$B$26,"",0),Team_Summary!$A:$A,0),MATCH("Team_League Table_Overall_Pts/MP",Team_Summary!$1:$1,0))</f>
        <v/>
      </c>
      <c r="AF23" s="30">
        <f>IF(COUNTIF(AE$4:AE$23,AE23)&gt;1,"T"&amp;_xlfn.RANK.EQ(AE23,AE$4:AE$23,0),_xlfn.RANK.EQ(AE23,AE$4:AE$23,0))</f>
        <v/>
      </c>
      <c r="AG23">
        <f>INDEX(Team_Summary!$A$1:$JF$21,MATCH(_xlfn.XLOOKUP($B23,Helpers!$C$4:$C$26,Helpers!$B$4:$B$26,"",0),Team_Summary!$A:$A,0),MATCH("Team_League Table_Home_GF",Team_Summary!$1:$1,0))</f>
        <v/>
      </c>
      <c r="AH23" s="30">
        <f>IF(COUNTIF(AG$4:AG$23,AG23)&gt;1,"T"&amp;_xlfn.RANK.EQ(AG23,AG$4:AG$23,0),_xlfn.RANK.EQ(AG23,AG$4:AG$23,0))</f>
        <v/>
      </c>
      <c r="AI23">
        <f>INDEX(Team_Summary!$A$1:$JF$21,MATCH(_xlfn.XLOOKUP($B23,Helpers!$C$4:$C$26,Helpers!$B$4:$B$26,"",0),Team_Summary!$A:$A,0),MATCH("Team_League Table_Away_GF",Team_Summary!$1:$1,0))</f>
        <v/>
      </c>
      <c r="AJ23" s="30">
        <f>IF(COUNTIF(AI$4:AI$23,AI23)&gt;1,"T"&amp;_xlfn.RANK.EQ(AI23,AI$4:AI$23,0),_xlfn.RANK.EQ(AI23,AI$4:AI$23,0))</f>
        <v/>
      </c>
      <c r="AK23">
        <f>INDEX(Team_Summary!$A$1:$JF$21,MATCH(_xlfn.XLOOKUP($B23,Helpers!$C$4:$C$26,Helpers!$B$4:$B$26,"",0),Team_Summary!$A:$A,0),MATCH("Team_League Table_Home_GA",Team_Summary!$1:$1,0))</f>
        <v/>
      </c>
      <c r="AL23" s="30">
        <f>IF(COUNTIF(AK$4:AK$23,AK23)&gt;1,"T"&amp;_xlfn.RANK.EQ(AK23,AK$4:AK$23,1),_xlfn.RANK.EQ(AK23,AK$4:AK$23,1))</f>
        <v/>
      </c>
      <c r="AM23">
        <f>INDEX(Team_Summary!$A$1:$JF$21,MATCH(_xlfn.XLOOKUP($B23,Helpers!$C$4:$C$26,Helpers!$B$4:$B$26,"",0),Team_Summary!$A:$A,0),MATCH("Team_League Table_Away_GA",Team_Summary!$1:$1,0))</f>
        <v/>
      </c>
      <c r="AN23" s="30">
        <f>IF(COUNTIF(AM$4:AM$23,AM23)&gt;1,"T"&amp;_xlfn.RANK.EQ(AM23,AM$4:AM$23,1),_xlfn.RANK.EQ(AM23,AM$4:AM$23,1))</f>
        <v/>
      </c>
      <c r="AO23">
        <f>INDEX(Team_Summary!$A$1:$JF$21,MATCH(_xlfn.XLOOKUP($B23,Helpers!$C$4:$C$26,Helpers!$B$4:$B$26,"",0),Team_Summary!$A:$A,0),MATCH("Team_League Table_Home_GD",Team_Summary!$1:$1,0))</f>
        <v/>
      </c>
      <c r="AP23" s="30">
        <f>IF(COUNTIF(AO$4:AO$23,AO23)&gt;1,"T"&amp;_xlfn.RANK.EQ(AO23,AO$4:AO$23,0),_xlfn.RANK.EQ(AO23,AO$4:AO$23,0))</f>
        <v/>
      </c>
      <c r="AQ23">
        <f>INDEX(Team_Summary!$A$1:$JF$21,MATCH(_xlfn.XLOOKUP($B23,Helpers!$C$4:$C$26,Helpers!$B$4:$B$26,"",0),Team_Summary!$A:$A,0),MATCH("Team_League Table_Away_GD",Team_Summary!$1:$1,0))</f>
        <v/>
      </c>
      <c r="AR23" s="30">
        <f>IF(COUNTIF(AQ$4:AQ$23,AQ23)&gt;1,"T"&amp;_xlfn.RANK.EQ(AQ23,AQ$4:AQ$23,0),_xlfn.RANK.EQ(AQ23,AQ$4:AQ$23,0))</f>
        <v/>
      </c>
      <c r="AS23">
        <f>INDEX(Team_Summary!$A$1:$JF$21,MATCH(_xlfn.XLOOKUP($B23,Helpers!$C$4:$C$26,Helpers!$B$4:$B$26,"",0),Team_Summary!$A:$A,0),MATCH("Team_Standard_Stats_Gls",Team_Summary!$1:$1,0))</f>
        <v/>
      </c>
      <c r="AT23" s="30">
        <f>IF(COUNTIF(AS$4:AS$23,AS23)&gt;1,"T"&amp;_xlfn.RANK.EQ(AS23,AS$4:AS$23,0),_xlfn.RANK.EQ(AS23,AS$4:AS$23,0))</f>
        <v/>
      </c>
      <c r="AU23" s="27">
        <f>C23/INDEX(Team_Summary!$A$1:$JF$21,MATCH(_xlfn.XLOOKUP($B23,Helpers!$C$4:$C$26,Helpers!$B$4:$B$26,"",0),Team_Summary!$A:$A,0),MATCH("Team_League Table_Overall_MP",Team_Summary!$1:$1,0))</f>
        <v/>
      </c>
      <c r="AV23" s="30">
        <f>IF(COUNTIF(AU$4:AU$23,AU23)&gt;1,"T"&amp;_xlfn.RANK.EQ(AU23,AU$4:AU$23,0),_xlfn.RANK.EQ(AU23,AU$4:AU$23,0))</f>
        <v/>
      </c>
      <c r="AW23">
        <f>INDEX(Team_Summary!$A$1:$JF$21,MATCH(_xlfn.XLOOKUP($B23,Helpers!$C$4:$C$26,Helpers!$B$4:$B$26,"",0),Team_Summary!$A:$A,0),MATCH("Team_Standard_Stats_G-PK",Team_Summary!$1:$1,0))</f>
        <v/>
      </c>
      <c r="AX23" s="30">
        <f>IF(COUNTIF(AW$4:AW$23,AW23)&gt;1,"T"&amp;_xlfn.RANK.EQ(AW23,AW$4:AW$23,0),_xlfn.RANK.EQ(AW23,AW$4:AW$23,0))</f>
        <v/>
      </c>
      <c r="AY23">
        <f>INDEX(Team_Summary!$A$1:$JF$21,MATCH(_xlfn.XLOOKUP($B23,Helpers!$C$4:$C$26,Helpers!$B$4:$B$26,"",0),Team_Summary!$A:$A,0),MATCH("Team_Standard_Stats_PK",Team_Summary!$1:$1,0))</f>
        <v/>
      </c>
      <c r="AZ23" s="30">
        <f>IF(COUNTIF(AY$4:AY$23,AY23)&gt;1,"T"&amp;_xlfn.RANK.EQ(AY23,AY$4:AY$23,0),_xlfn.RANK.EQ(AY23,AY$4:AY$23,0))</f>
        <v/>
      </c>
      <c r="BA23">
        <f>INDEX(Team_Summary!$A$1:$JF$21,MATCH(_xlfn.XLOOKUP($B23,Helpers!$C$4:$C$26,Helpers!$B$4:$B$26,"",0),Team_Summary!$A:$A,0),MATCH("Team_Standard_Stats_Ast.1",Team_Summary!$1:$1,0))</f>
        <v/>
      </c>
      <c r="BB23" s="30">
        <f>IF(COUNTIF(BA$4:BA$23,BA23)&gt;1,"T"&amp;_xlfn.RANK.EQ(BA23,BA$4:BA$23,0),_xlfn.RANK.EQ(BA23,BA$4:BA$23,0))</f>
        <v/>
      </c>
      <c r="BC23">
        <f>INDEX(Team_Summary!$A$1:$JF$21,MATCH(_xlfn.XLOOKUP($B23,Helpers!$C$4:$C$26,Helpers!$B$4:$B$26,"",0),Team_Summary!$A:$A,0),MATCH("Team_Standard_Stats_Ast",Team_Summary!$1:$1,0))</f>
        <v/>
      </c>
      <c r="BD23" s="30">
        <f>IF(COUNTIF(BC$4:BC$23,BC23)&gt;1,"T"&amp;_xlfn.RANK.EQ(BC23,BC$4:BC$23,0),_xlfn.RANK.EQ(BC23,BC$4:BC$23,0))</f>
        <v/>
      </c>
      <c r="BE23">
        <f>INDEX(Team_Summary!$A$1:$JF$21,MATCH(_xlfn.XLOOKUP($B23,Helpers!$C$4:$C$26,Helpers!$B$4:$B$26,"",0),Team_Summary!$A:$A,0),MATCH("Team_Miscellaneous_Stats_CrdY",Team_Summary!$1:$1,0))</f>
        <v/>
      </c>
      <c r="BF23" s="30">
        <f>IF(COUNTIF(BE$4:BE$23,BE23)&gt;1,"T"&amp;_xlfn.RANK.EQ(BE23,BE$4:BE$23,1),_xlfn.RANK.EQ(BE23,BE$4:BE$23,1))</f>
        <v/>
      </c>
      <c r="BG23" s="35">
        <f>BE23/INDEX(Team_Summary!$A$1:$JF$21,MATCH(_xlfn.XLOOKUP($B23,Helpers!$C$4:$C$26,Helpers!$B$4:$B$26,"",0),Team_Summary!$A:$A,0),MATCH("Team_League Table_Overall_MP",Team_Summary!$1:$1,0))</f>
        <v/>
      </c>
      <c r="BH23" s="30">
        <f>IF(COUNTIF(BG$4:BG$23,BG23)&gt;1,"T"&amp;_xlfn.RANK.EQ(BG23,BG$4:BG$23,1),_xlfn.RANK.EQ(BG23,BG$4:BG$23,1))</f>
        <v/>
      </c>
      <c r="BI23">
        <f>INDEX(Team_Summary!$A$1:$JF$21,MATCH(_xlfn.XLOOKUP($B23,Helpers!$C$4:$C$26,Helpers!$B$4:$B$26,"",0),Team_Summary!$A:$A,0),MATCH("Team_Miscellaneous_Stats_CrdR",Team_Summary!$1:$1,0))/INDEX(Team_Summary!$A$1:$JF$21,MATCH(_xlfn.XLOOKUP($B23,Helpers!$C$4:$C$26,Helpers!$B$4:$B$26,"",0),Team_Summary!$A:$A,0),MATCH("Team_League Table_Overall_MP",Team_Summary!$1:$1,0))</f>
        <v/>
      </c>
      <c r="BJ23" s="30">
        <f>IF(COUNTIF(BI$4:BI$23,BI23)&gt;1,"T"&amp;_xlfn.RANK.EQ(BI23,BI$4:BI$23,1),_xlfn.RANK.EQ(BI23,BI$4:BI$23,1))</f>
        <v/>
      </c>
      <c r="BK23">
        <f>INDEX(Team_Summary!$A$1:$JF$21,MATCH(_xlfn.XLOOKUP($B23,Helpers!$C$4:$C$26,Helpers!$B$4:$B$26,"",0),Team_Summary!$A:$A,0),MATCH("Team_Goalkeeping_SoTA",Team_Summary!$1:$1,0))/INDEX(Team_Summary!$A$1:$JF$21,MATCH(_xlfn.XLOOKUP($B23,Helpers!$C$4:$C$26,Helpers!$B$4:$B$26,"",0),Team_Summary!$A:$A,0),MATCH("Team_League Table_Overall_MP",Team_Summary!$1:$1,0))</f>
        <v/>
      </c>
      <c r="BL23" s="30">
        <f>IF(COUNTIF(BK$4:BK$23,BK23)&gt;1,"T"&amp;_xlfn.RANK.EQ(BK23,BK$4:BK$23,1),_xlfn.RANK.EQ(BK23,BK$4:BK$23,1))</f>
        <v/>
      </c>
      <c r="BM23">
        <f>INDEX(Team_Summary!$A$1:$JF$21,MATCH(_xlfn.XLOOKUP($B23,Helpers!$C$4:$C$26,Helpers!$B$4:$B$26,"",0),Team_Summary!$A:$A,0),MATCH("Team_Goalkeeping_Save%",Team_Summary!$1:$1,0))</f>
        <v/>
      </c>
      <c r="BN23" s="30">
        <f>IF(COUNTIF(BM$4:BM$23,BM23)&gt;1,"T"&amp;_xlfn.RANK.EQ(BM23,BM$4:BM$23,0),_xlfn.RANK.EQ(BM23,BM$4:BM$23,0))</f>
        <v/>
      </c>
      <c r="BO23">
        <f>INDEX(Team_Summary!$A$1:$JF$21,MATCH(_xlfn.XLOOKUP($B23,Helpers!$C$4:$C$26,Helpers!$B$4:$B$26,"",0),Team_Summary!$A:$A,0),MATCH("Team_Goalkeeping_CS%",Team_Summary!$1:$1,0))</f>
        <v/>
      </c>
      <c r="BP23" s="30">
        <f>IF(COUNTIF(BO$4:BO$23,BO23)&gt;1,"T"&amp;_xlfn.RANK.EQ(BO23,BO$4:BO$23,0),_xlfn.RANK.EQ(BO23,BO$4:BO$23,0))</f>
        <v/>
      </c>
      <c r="BQ23">
        <f>INDEX(Team_Summary!$A$1:$JF$21,MATCH(_xlfn.XLOOKUP($B23,Helpers!$C$4:$C$26,Helpers!$B$4:$B$26,"",0),Team_Summary!$A:$A,0),MATCH("Team_Goalkeeping_Save%.1",Team_Summary!$1:$1,0))</f>
        <v/>
      </c>
      <c r="BR23" s="30">
        <f>IF(COUNTIF(BQ$4:BQ$23,BQ23)&gt;1,"T"&amp;_xlfn.RANK.EQ(BQ23,BQ$4:BQ$23,0),_xlfn.RANK.EQ(BQ23,BQ$4:BQ$23,0))</f>
        <v/>
      </c>
      <c r="BS23">
        <f>INDEX(Team_Summary!$A$1:$JF$21,MATCH(_xlfn.XLOOKUP($B23,Helpers!$C$4:$C$26,Helpers!$B$4:$B$26,"",0),Team_Summary!$A:$A,0),MATCH("Team_Advanced_Goalkeeping_FK",Team_Summary!$1:$1,0))</f>
        <v/>
      </c>
      <c r="BT23" s="30">
        <f>IF(COUNTIF(BS$4:BS$23,BS23)&gt;1,"T"&amp;_xlfn.RANK.EQ(BS23,BS$4:BS$23,1),_xlfn.RANK.EQ(BS23,BS$4:BS$23,1))</f>
        <v/>
      </c>
      <c r="BU23">
        <f>INDEX(Team_Summary!$A$1:$JF$21,MATCH(_xlfn.XLOOKUP($B23,Helpers!$C$4:$C$26,Helpers!$B$4:$B$26,"",0),Team_Summary!$A:$A,0),MATCH("Team_Advanced_Goalkeeping_CK",Team_Summary!$1:$1,0))</f>
        <v/>
      </c>
      <c r="BV23" s="30">
        <f>IF(COUNTIF(BU$4:BU$23,BU23)&gt;1,"T"&amp;_xlfn.RANK.EQ(BU23,BU$4:BU$23,1),_xlfn.RANK.EQ(BU23,BU$4:BU$23,1))</f>
        <v/>
      </c>
      <c r="BW23">
        <f>INDEX(Team_Summary!$A$1:$JF$21,MATCH(_xlfn.XLOOKUP($B23,Helpers!$C$4:$C$26,Helpers!$B$4:$B$26,"",0),Team_Summary!$A:$A,0),MATCH("Team_Advanced_Goalkeeping_Stp%",Team_Summary!$1:$1,0))</f>
        <v/>
      </c>
      <c r="BX23" s="30">
        <f>IF(COUNTIF(BW$4:BW$23,BW23)&gt;1,"T"&amp;_xlfn.RANK.EQ(BW23,BW$4:BW$23,0),_xlfn.RANK.EQ(BW23,BW$4:BW$23,0))</f>
        <v/>
      </c>
      <c r="BY23">
        <f>INDEX(Team_Summary!$A$1:$JF$21,MATCH(_xlfn.XLOOKUP($B23,Helpers!$C$4:$C$26,Helpers!$B$4:$B$26,"",0),Team_Summary!$A:$A,0),MATCH("Team_Shooting_G/SoT",Team_Summary!$1:$1,0))</f>
        <v/>
      </c>
      <c r="BZ23" s="30">
        <f>IF(COUNTIF(BY$4:BY$23,BY23)&gt;1,"T"&amp;_xlfn.RANK.EQ(BY23,BY$4:BY$23,0),_xlfn.RANK.EQ(BY23,BY$4:BY$23,0))</f>
        <v/>
      </c>
      <c r="CA23">
        <f>INDEX(Team_Summary!$A$1:$JF$21,MATCH(_xlfn.XLOOKUP($B23,Helpers!$C$4:$C$26,Helpers!$B$4:$B$26,"",0),Team_Summary!$A:$A,0),MATCH("Team_Shooting_G/Sh",Team_Summary!$1:$1,0))</f>
        <v/>
      </c>
      <c r="CB23" s="30">
        <f>IF(COUNTIF(CA$4:CA$23,CA23)&gt;1,"T"&amp;_xlfn.RANK.EQ(CA23,CA$4:CA$23,0),_xlfn.RANK.EQ(CA23,CA$4:CA$23,0))</f>
        <v/>
      </c>
      <c r="CC23">
        <f>INDEX(Team_Summary!$A$1:$JF$21,MATCH(_xlfn.XLOOKUP($B23,Helpers!$C$4:$C$26,Helpers!$B$4:$B$26,"",0),Team_Summary!$A:$A,0),MATCH("Team_Shooting_SoT",Team_Summary!$1:$1,0))/INDEX(Team_Summary!$A$1:$JF$21,MATCH(_xlfn.XLOOKUP($B23,Helpers!$C$4:$C$26,Helpers!$B$4:$B$26,"",0),Team_Summary!$A:$A,0),MATCH("Team_League Table_Overall_MP",Team_Summary!$1:$1,0))</f>
        <v/>
      </c>
      <c r="CD23" s="30">
        <f>IF(COUNTIF(CC$4:CC$23,CC23)&gt;1,"T"&amp;_xlfn.RANK.EQ(CC23,CC$4:CC$23,0),_xlfn.RANK.EQ(CC23,CC$4:CC$23,0))</f>
        <v/>
      </c>
      <c r="CE23">
        <f>INDEX(Team_Summary!$A$1:$JF$21,MATCH(_xlfn.XLOOKUP($B23,Helpers!$C$4:$C$26,Helpers!$B$4:$B$26,"",0),Team_Summary!$A:$A,0),MATCH("Team_Shooting_SoT%",Team_Summary!$1:$1,0))</f>
        <v/>
      </c>
      <c r="CF23" s="30">
        <f>IF(COUNTIF(CE$4:CE$23,CE23)&gt;1,"T"&amp;_xlfn.RANK.EQ(CE23,CE$4:CE$23,0),_xlfn.RANK.EQ(CE23,CE$4:CE$23,0))</f>
        <v/>
      </c>
      <c r="CG23">
        <f>INDEX(Team_Summary!$A$1:$JF$21,MATCH(_xlfn.XLOOKUP($B23,Helpers!$C$4:$C$26,Helpers!$B$4:$B$26,"",0),Team_Summary!$A:$A,0),MATCH("Team_Pass_Types_CK",Team_Summary!$1:$1,0))/INDEX(Team_Summary!$A$1:$JF$21,MATCH(_xlfn.XLOOKUP($B23,Helpers!$C$4:$C$26,Helpers!$B$4:$B$26,"",0),Team_Summary!$A:$A,0),MATCH("Team_League Table_Overall_MP",Team_Summary!$1:$1,0))</f>
        <v/>
      </c>
      <c r="CH23" s="30">
        <f>IF(COUNTIF(CG$4:CG$23,CG23)&gt;1,"T"&amp;_xlfn.RANK.EQ(CG23,CG$4:CG$23,0),_xlfn.RANK.EQ(CG23,CG$4:CG$23,0))</f>
        <v/>
      </c>
      <c r="CI23">
        <f>INDEX(Team_Summary!$A$1:$JF$21,MATCH(_xlfn.XLOOKUP($B23,Helpers!$C$4:$C$26,Helpers!$B$4:$B$26,"",0),Team_Summary!$A:$A,0),MATCH("Team_Miscellaneous_Stats_TklW",Team_Summary!$1:$1,0))/INDEX(Team_Summary!$A$1:$JF$21,MATCH(_xlfn.XLOOKUP($B23,Helpers!$C$4:$C$26,Helpers!$B$4:$B$26,"",0),Team_Summary!$A:$A,0),MATCH("Team_League Table_Overall_MP",Team_Summary!$1:$1,0))</f>
        <v/>
      </c>
      <c r="CJ23" s="30">
        <f>IF(COUNTIF(CI$4:CI$23,CI23)&gt;1,"T"&amp;_xlfn.RANK.EQ(CI23,CI$4:CI$23,0),_xlfn.RANK.EQ(CI23,CI$4:CI$23,0))</f>
        <v/>
      </c>
      <c r="CK23">
        <f>INDEX(Team_Summary!$A$1:$JF$21,MATCH(_xlfn.XLOOKUP($B23,Helpers!$C$4:$C$26,Helpers!$B$4:$B$26,"",0),Team_Summary!$A:$A,0),MATCH("Team_Defensive_Actions_Sh",Team_Summary!$1:$1,0))/INDEX(Team_Summary!$A$1:$JF$21,MATCH(_xlfn.XLOOKUP($B23,Helpers!$C$4:$C$26,Helpers!$B$4:$B$26,"",0),Team_Summary!$A:$A,0),MATCH("Team_League Table_Overall_MP",Team_Summary!$1:$1,0))</f>
        <v/>
      </c>
      <c r="CL23" s="30">
        <f>IF(COUNTIF(CK$4:CK$23,CK23)&gt;1,"T"&amp;_xlfn.RANK.EQ(CK23,CK$4:CK$23,0),_xlfn.RANK.EQ(CK23,CK$4:CK$23,0))</f>
        <v/>
      </c>
      <c r="CM23">
        <f>INDEX(Team_Summary!$A$1:$JF$21,MATCH(_xlfn.XLOOKUP($B23,Helpers!$C$4:$C$26,Helpers!$B$4:$B$26,"",0),Team_Summary!$A:$A,0),MATCH("Team_Defensive_Actions_Int",Team_Summary!$1:$1,0))/INDEX(Team_Summary!$A$1:$JF$21,MATCH(_xlfn.XLOOKUP($B23,Helpers!$C$4:$C$26,Helpers!$B$4:$B$26,"",0),Team_Summary!$A:$A,0),MATCH("Team_League Table_Overall_MP",Team_Summary!$1:$1,0))</f>
        <v/>
      </c>
      <c r="CN23" s="30">
        <f>IF(COUNTIF(CM$4:CM$23,CM23)&gt;1,"T"&amp;_xlfn.RANK.EQ(CM23,CM$4:CM$23,0),_xlfn.RANK.EQ(CM23,CM$4:CM$23,0))</f>
        <v/>
      </c>
      <c r="CO23">
        <f>INDEX(Team_Summary!$A$1:$JF$21,MATCH(_xlfn.XLOOKUP($B23,Helpers!$C$4:$C$26,Helpers!$B$4:$B$26,"",0),Team_Summary!$A:$A,0),MATCH("Team_Possession_Poss",Team_Summary!$1:$1,0))</f>
        <v/>
      </c>
      <c r="CP23" s="30">
        <f>IF(COUNTIF(CO$4:CO$23,CO23)&gt;1,"T"&amp;_xlfn.RANK.EQ(CO23,CO$4:CO$23,0),_xlfn.RANK.EQ(CO23,CO$4:CO$23,0))</f>
        <v/>
      </c>
      <c r="CQ23">
        <f>INDEX(Team_Summary!$A$1:$JF$21,MATCH(_xlfn.XLOOKUP($B23,Helpers!$C$4:$C$26,Helpers!$B$4:$B$26,"",0),Team_Summary!$A:$A,0),MATCH("Team_Possession_Def Pen",Team_Summary!$1:$1,0))/INDEX(Team_Summary!$A$1:$JF$21,MATCH(_xlfn.XLOOKUP($B23,Helpers!$C$4:$C$26,Helpers!$B$4:$B$26,"",0),Team_Summary!$A:$A,0),MATCH("Team_League Table_Overall_MP",Team_Summary!$1:$1,0))</f>
        <v/>
      </c>
      <c r="CR23" s="30">
        <f>IF(COUNTIF(CQ$4:CQ$23,CQ23)&gt;1,"T"&amp;_xlfn.RANK.EQ(CQ23,CQ$4:CQ$23,0),_xlfn.RANK.EQ(CQ23,CQ$4:CQ$23,0))</f>
        <v/>
      </c>
      <c r="CS23">
        <f>INDEX(Team_Summary!$A$1:$JF$21,MATCH(_xlfn.XLOOKUP($B23,Helpers!$C$4:$C$26,Helpers!$B$4:$B$26,"",0),Team_Summary!$A:$A,0),MATCH("Team_Possession_Def 3rd",Team_Summary!$1:$1,0))/INDEX(Team_Summary!$A$1:$JF$21,MATCH(_xlfn.XLOOKUP($B23,Helpers!$C$4:$C$26,Helpers!$B$4:$B$26,"",0),Team_Summary!$A:$A,0),MATCH("Team_League Table_Overall_MP",Team_Summary!$1:$1,0))</f>
        <v/>
      </c>
      <c r="CT23" s="30">
        <f>IF(COUNTIF(CS$4:CS$23,CS23)&gt;1,"T"&amp;_xlfn.RANK.EQ(CS23,CS$4:CS$23,0),_xlfn.RANK.EQ(CS23,CS$4:CS$23,0))</f>
        <v/>
      </c>
      <c r="CU23">
        <f>INDEX(Team_Summary!$A$1:$JF$21,MATCH(_xlfn.XLOOKUP($B23,Helpers!$C$4:$C$26,Helpers!$B$4:$B$26,"",0),Team_Summary!$A:$A,0),MATCH("Team_Possession_Mid 3rd",Team_Summary!$1:$1,0))/INDEX(Team_Summary!$A$1:$JF$21,MATCH(_xlfn.XLOOKUP($B23,Helpers!$C$4:$C$26,Helpers!$B$4:$B$26,"",0),Team_Summary!$A:$A,0),MATCH("Team_League Table_Overall_MP",Team_Summary!$1:$1,0))</f>
        <v/>
      </c>
      <c r="CV23" s="30">
        <f>IF(COUNTIF(CU$4:CU$23,CU23)&gt;1,"T"&amp;_xlfn.RANK.EQ(CU23,CU$4:CU$23,0),_xlfn.RANK.EQ(CU23,CU$4:CU$23,0))</f>
        <v/>
      </c>
      <c r="CW23">
        <f>INDEX(Team_Summary!$A$1:$JF$21,MATCH(_xlfn.XLOOKUP($B23,Helpers!$C$4:$C$26,Helpers!$B$4:$B$26,"",0),Team_Summary!$A:$A,0),MATCH("Team_Possession_Att 3rd",Team_Summary!$1:$1,0))/INDEX(Team_Summary!$A$1:$JF$21,MATCH(_xlfn.XLOOKUP($B23,Helpers!$C$4:$C$26,Helpers!$B$4:$B$26,"",0),Team_Summary!$A:$A,0),MATCH("Team_League Table_Overall_MP",Team_Summary!$1:$1,0))</f>
        <v/>
      </c>
      <c r="CX23" s="30">
        <f>IF(COUNTIF(CW$4:CW$23,CW23)&gt;1,"T"&amp;_xlfn.RANK.EQ(CW23,CW$4:CW$23,0),_xlfn.RANK.EQ(CW23,CW$4:CW$23,0))</f>
        <v/>
      </c>
      <c r="CY23">
        <f>INDEX(Team_Summary!$A$1:$JF$21,MATCH(_xlfn.XLOOKUP($B23,Helpers!$C$4:$C$26,Helpers!$B$4:$B$26,"",0),Team_Summary!$A:$A,0),MATCH("Team_Possession_Att Pen",Team_Summary!$1:$1,0))/INDEX(Team_Summary!$A$1:$JF$21,MATCH(_xlfn.XLOOKUP($B23,Helpers!$C$4:$C$26,Helpers!$B$4:$B$26,"",0),Team_Summary!$A:$A,0),MATCH("Team_League Table_Overall_MP",Team_Summary!$1:$1,0))</f>
        <v/>
      </c>
      <c r="CZ23" s="30">
        <f>IF(COUNTIF(CY$4:CY$23,CY23)&gt;1,"T"&amp;_xlfn.RANK.EQ(CY23,CY$4:CY$23,0),_xlfn.RANK.EQ(CY23,CY$4:CY$23,0))</f>
        <v/>
      </c>
      <c r="DA23">
        <f>INDEX(Team_Summary!$A$1:$JF$21,MATCH(_xlfn.XLOOKUP($B23,Helpers!$C$4:$C$26,Helpers!$B$4:$B$26,"",0),Team_Summary!$A:$A,0),MATCH("Team_Miscellaneous_Stats_Fls",Team_Summary!$1:$1,0))/INDEX(Team_Summary!$A$1:$JF$21,MATCH(_xlfn.XLOOKUP($B23,Helpers!$C$4:$C$26,Helpers!$B$4:$B$26,"",0),Team_Summary!$A:$A,0),MATCH("Team_League Table_Overall_MP",Team_Summary!$1:$1,0))</f>
        <v/>
      </c>
      <c r="DB23" s="30">
        <f>IF(COUNTIF(DA$4:DA$23,DA23)&gt;1,"T"&amp;_xlfn.RANK.EQ(DA23,DA$4:DA$23,1),_xlfn.RANK.EQ(DA23,DA$4:DA$23,1))</f>
        <v/>
      </c>
      <c r="DC23">
        <f>INDEX(Team_Summary!$A$1:$JF$21,MATCH(_xlfn.XLOOKUP($B23,Helpers!$C$4:$C$26,Helpers!$B$4:$B$26,"",0),Team_Summary!$A:$A,0),MATCH("Team_Miscellaneous_Stats_Fld",Team_Summary!$1:$1,0))/INDEX(Team_Summary!$A$1:$JF$21,MATCH(_xlfn.XLOOKUP($B23,Helpers!$C$4:$C$26,Helpers!$B$4:$B$26,"",0),Team_Summary!$A:$A,0),MATCH("Team_League Table_Overall_MP",Team_Summary!$1:$1,0))</f>
        <v/>
      </c>
      <c r="DD23" s="30">
        <f>IF(COUNTIF(DC$4:DC$23,DC23)&gt;1,"T"&amp;_xlfn.RANK.EQ(DC23,DC$4:DC$23,0),_xlfn.RANK.EQ(DC23,DC$4:DC$23,0))</f>
        <v/>
      </c>
      <c r="DE23">
        <f>INDEX(Team_Summary!$A$1:$JF$21,MATCH(_xlfn.XLOOKUP($B23,Helpers!$C$4:$C$26,Helpers!$B$4:$B$26,"",0),Team_Summary!$A:$A,0),MATCH("Team_Miscellaneous_Stats_Won",Team_Summary!$1:$1,0))/INDEX(Team_Summary!$A$1:$JF$21,MATCH(_xlfn.XLOOKUP($B23,Helpers!$C$4:$C$26,Helpers!$B$4:$B$26,"",0),Team_Summary!$A:$A,0),MATCH("Team_League Table_Overall_MP",Team_Summary!$1:$1,0))</f>
        <v/>
      </c>
      <c r="DF23" s="30">
        <f>IF(COUNTIF(DE$4:DE$23,DE23)&gt;1,"T"&amp;_xlfn.RANK.EQ(DE23,DE$4:DE$23,0),_xlfn.RANK.EQ(DE23,DE$4:DE$23,0))</f>
        <v/>
      </c>
      <c r="DG23">
        <f>INDEX(Team_Summary!$A$1:$JF$21,MATCH(_xlfn.XLOOKUP($B23,Helpers!$C$4:$C$26,Helpers!$B$4:$B$26,"",0),Team_Summary!$A:$A,0),MATCH("Team_Miscellaneous_Stats_Pkwon",Team_Summary!$1:$1,0))</f>
        <v/>
      </c>
      <c r="DH23" s="30">
        <f>IF(COUNTIF(DG$4:DG$23,DG23)&gt;1,"T"&amp;_xlfn.RANK.EQ(DG23,DG$4:DG$23,0),_xlfn.RANK.EQ(DG23,DG$4:DG$23,0))</f>
        <v/>
      </c>
      <c r="DI23">
        <f>INDEX(Team_Summary!$A$1:$JF$21,MATCH(_xlfn.XLOOKUP($B23,Helpers!$C$4:$C$26,Helpers!$B$4:$B$26,"",0),Team_Summary!$A:$A,0),MATCH("Team_Miscellaneous_Stats_Pkcon",Team_Summary!$1:$1,0))</f>
        <v/>
      </c>
      <c r="DJ23" s="30">
        <f>IF(COUNTIF(DI$4:DI$23,DI23)&gt;1,"T"&amp;_xlfn.RANK.EQ(DI23,DI$4:DI$23,1),_xlfn.RANK.EQ(DI23,DI$4:DI$23,1))</f>
        <v/>
      </c>
      <c r="DK23">
        <f>INDEX(Team_Summary!$A$1:$JF$21,MATCH(_xlfn.XLOOKUP($B23,Helpers!$C$4:$C$26,Helpers!$B$4:$B$26,"",0),Team_Summary!$A:$A,0),MATCH("Team_Playing_Time_Age",Team_Summary!$1:$1,0))</f>
        <v/>
      </c>
      <c r="DL23" s="30">
        <f>IF(COUNTIF(DK$4:DK$23,DK23)&gt;1,"T"&amp;_xlfn.RANK.EQ(DK23,DK$4:DK$23,1),_xlfn.RANK.EQ(DK23,DK$4:DK$23,1))</f>
        <v/>
      </c>
    </row>
    <row r="24">
      <c r="DG24" s="34" t="n"/>
    </row>
  </sheetData>
  <mergeCells count="57">
    <mergeCell ref="AM2:AN2"/>
    <mergeCell ref="AO2:AP2"/>
    <mergeCell ref="G2:H2"/>
    <mergeCell ref="I2:J2"/>
    <mergeCell ref="AW2:AX2"/>
    <mergeCell ref="BI2:BJ2"/>
    <mergeCell ref="BA2:BB2"/>
    <mergeCell ref="BC2:BD2"/>
    <mergeCell ref="DC2:DD2"/>
    <mergeCell ref="BU2:BV2"/>
    <mergeCell ref="DE2:DF2"/>
    <mergeCell ref="M2:N2"/>
    <mergeCell ref="S2:T2"/>
    <mergeCell ref="U2:V2"/>
    <mergeCell ref="Y2:Z2"/>
    <mergeCell ref="BW2:BX2"/>
    <mergeCell ref="BM2:BN2"/>
    <mergeCell ref="BY2:BZ2"/>
    <mergeCell ref="BO2:BP2"/>
    <mergeCell ref="AE2:AF2"/>
    <mergeCell ref="CA2:CB2"/>
    <mergeCell ref="CG2:CH2"/>
    <mergeCell ref="AG2:AH2"/>
    <mergeCell ref="CI2:CJ2"/>
    <mergeCell ref="CK2:CL2"/>
    <mergeCell ref="CM2:CN2"/>
    <mergeCell ref="CS2:CT2"/>
    <mergeCell ref="CU2:CV2"/>
    <mergeCell ref="CW2:CX2"/>
    <mergeCell ref="C2:D2"/>
    <mergeCell ref="AQ2:AR2"/>
    <mergeCell ref="E2:F2"/>
    <mergeCell ref="AS2:AT2"/>
    <mergeCell ref="K2:L2"/>
    <mergeCell ref="AY2:AZ2"/>
    <mergeCell ref="BE2:BF2"/>
    <mergeCell ref="CY2:CZ2"/>
    <mergeCell ref="BG2:BH2"/>
    <mergeCell ref="BQ2:BR2"/>
    <mergeCell ref="DA2:DB2"/>
    <mergeCell ref="DG2:DH2"/>
    <mergeCell ref="DI2:DJ2"/>
    <mergeCell ref="DK2:DL2"/>
    <mergeCell ref="O2:P2"/>
    <mergeCell ref="Q2:R2"/>
    <mergeCell ref="W2:X2"/>
    <mergeCell ref="BS2:BT2"/>
    <mergeCell ref="AA2:AB2"/>
    <mergeCell ref="BK2:BL2"/>
    <mergeCell ref="AI2:AJ2"/>
    <mergeCell ref="AC2:AD2"/>
    <mergeCell ref="CC2:CD2"/>
    <mergeCell ref="AU2:AV2"/>
    <mergeCell ref="AK2:AL2"/>
    <mergeCell ref="CE2:CF2"/>
    <mergeCell ref="CO2:CP2"/>
    <mergeCell ref="CQ2:CR2"/>
  </mergeCells>
  <conditionalFormatting sqref="C4:C23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:E23">
    <cfRule type="colorScale" priority="1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:G23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23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:I23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:K23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:M23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23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:O23"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:O23">
    <cfRule type="colorScale" priority="1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4:Q23">
    <cfRule type="colorScale" priority="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23"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:S23"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:S23"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4:U23"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5:U23">
    <cfRule type="colorScale" priority="1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4:W23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5:W23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4:Y23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5:Y23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4:AA23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5:AA23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4:AC23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5:AC23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4:AE23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5:AE23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4:AG23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:AG23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4:AI23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5:AI23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K4:AK23">
    <cfRule type="colorScale" priority="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K5:AK23">
    <cfRule type="colorScale" priority="1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4:AM23"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5:AM23"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4:AO23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O5:AO23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4:AQ23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5:AQ23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S4:AS23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S5:AS23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4:AU23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5:AU23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4:AW23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5:AW23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Y4:AY23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Y5:AY23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A4:BA23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C4:BC23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E4:BE23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E5:BE23">
    <cfRule type="colorScale" priority="1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G4:BG23"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I4:BI23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I5:BI23">
    <cfRule type="colorScale" priority="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K4:BK23"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K5:BK23">
    <cfRule type="colorScale" priority="1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M4:BM23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M5:BM23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O4:BO23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O5:BO2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Q4:BQ23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Q5:BQ2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S4:BS23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S5:BS23">
    <cfRule type="colorScale" priority="1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U4:BU2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U5:BU23">
    <cfRule type="colorScale" priority="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W4:BW23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W5:BW23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Y4:BY23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Y5:BY23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A4:CA23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A5:CA2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C4:CC23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C5:CC23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E4:CE23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E5:CE23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G4:CG23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G5:CG23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I4:CI23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I5:CI23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K4:CK23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K5:CK23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M4:CM23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M5:CM23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O4:CO23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O5:CO23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Q4:CQ23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Q5:CQ23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S4:CS23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S5:CS23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U4:CU2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U5:CU23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W4:CW2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W5:CW23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Y4:CY2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Y5:CY23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A4:DA23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A5:DA23">
    <cfRule type="colorScale" priority="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C4:DC2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C5:DC23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E4:DE2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E5:DE23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G4:DG2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G5:DG2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I4:DI2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K4:DK2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K5:DK2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>
  <sheetPr codeName="Sheet6">
    <outlinePr summaryBelow="1" summaryRight="1"/>
    <pageSetUpPr/>
  </sheetPr>
  <dimension ref="A1:CK630"/>
  <sheetViews>
    <sheetView showGridLines="0" topLeftCell="A515" zoomScale="70" zoomScaleNormal="70" workbookViewId="0">
      <selection activeCell="M515" sqref="M515"/>
    </sheetView>
  </sheetViews>
  <sheetFormatPr baseColWidth="8" defaultColWidth="11" defaultRowHeight="15.75"/>
  <cols>
    <col width="17.125" bestFit="1" customWidth="1" style="43" min="1" max="1"/>
    <col width="24.25" bestFit="1" customWidth="1" style="43" min="2" max="2"/>
    <col width="6.375" bestFit="1" customWidth="1" style="43" min="3" max="3"/>
    <col width="7.125" bestFit="1" customWidth="1" style="43" min="4" max="4"/>
    <col width="9.375" bestFit="1" customWidth="1" style="43" min="5" max="5"/>
    <col width="10" bestFit="1" customWidth="1" style="43" min="6" max="6"/>
    <col width="10.875" bestFit="1" customWidth="1" style="43" min="7" max="7"/>
    <col width="8.5" bestFit="1" customWidth="1" style="43" min="8" max="8"/>
    <col width="8.125" bestFit="1" customWidth="1" style="43" min="9" max="9"/>
    <col width="11" bestFit="1" customWidth="1" style="43" min="10" max="10"/>
    <col width="8.875" bestFit="1" customWidth="1" style="43" min="11" max="11"/>
    <col width="6.375" bestFit="1" customWidth="1" style="43" min="12" max="12"/>
    <col width="8.5" bestFit="1" customWidth="1" style="43" min="13" max="13"/>
    <col width="10" bestFit="1" customWidth="1" style="43" min="14" max="14"/>
    <col width="10.875" bestFit="1" customWidth="1" style="43" min="15" max="15"/>
    <col width="12.5" bestFit="1" customWidth="1" style="43" min="16" max="16"/>
    <col width="31.875" bestFit="1" customWidth="1" style="43" min="17" max="17"/>
    <col width="16.375" bestFit="1" customWidth="1" style="43" min="18" max="18"/>
    <col width="36" bestFit="1" customWidth="1" style="43" min="19" max="19"/>
    <col width="10.625" bestFit="1" customWidth="1" style="43" min="20" max="20"/>
    <col width="9.375" bestFit="1" customWidth="1" style="43" min="21" max="21"/>
    <col width="8.375" bestFit="1" customWidth="1" style="43" min="22" max="23"/>
    <col width="8" bestFit="1" customWidth="1" style="43" min="24" max="24"/>
    <col width="7.625" bestFit="1" customWidth="1" style="43" min="25" max="25"/>
    <col width="7.125" bestFit="1" customWidth="1" style="43" min="26" max="26"/>
    <col width="10" bestFit="1" customWidth="1" style="43" min="27" max="27"/>
    <col width="8.875" bestFit="1" customWidth="1" style="43" min="28" max="28"/>
    <col width="5.25" bestFit="1" customWidth="1" style="43" min="29" max="29"/>
    <col width="8.5" bestFit="1" customWidth="1" style="43" min="30" max="30"/>
    <col width="6" bestFit="1" customWidth="1" style="43" min="31" max="31"/>
    <col width="10.625" bestFit="1" customWidth="1" style="43" min="32" max="32"/>
    <col width="20.125" customWidth="1" style="43" min="33" max="34"/>
    <col width="12.125" customWidth="1" style="43" min="35" max="40"/>
    <col width="13.625" customWidth="1" style="43" min="41" max="43"/>
  </cols>
  <sheetData>
    <row r="1">
      <c r="A1" s="45" t="inlineStr">
        <is>
          <t>Premier League Table</t>
        </is>
      </c>
    </row>
    <row r="2" ht="47.25" customHeight="1" s="43">
      <c r="A2" s="46" t="inlineStr">
        <is>
          <t>Rk</t>
        </is>
      </c>
      <c r="B2" s="46" t="inlineStr">
        <is>
          <t>Squad</t>
        </is>
      </c>
      <c r="C2" s="46" t="inlineStr">
        <is>
          <t>MP</t>
        </is>
      </c>
      <c r="D2" s="46" t="inlineStr">
        <is>
          <t>W</t>
        </is>
      </c>
      <c r="E2" s="46" t="inlineStr">
        <is>
          <t>D</t>
        </is>
      </c>
      <c r="F2" s="46" t="inlineStr">
        <is>
          <t>L</t>
        </is>
      </c>
      <c r="G2" s="46" t="inlineStr">
        <is>
          <t>GF</t>
        </is>
      </c>
      <c r="H2" s="46" t="inlineStr">
        <is>
          <t>GA</t>
        </is>
      </c>
      <c r="I2" s="46" t="inlineStr">
        <is>
          <t>GD</t>
        </is>
      </c>
      <c r="J2" s="46" t="inlineStr">
        <is>
          <t>Pts</t>
        </is>
      </c>
      <c r="K2" s="46" t="inlineStr">
        <is>
          <t>Pts/MP</t>
        </is>
      </c>
      <c r="L2" s="46" t="inlineStr">
        <is>
          <t>xG</t>
        </is>
      </c>
      <c r="M2" s="46" t="inlineStr">
        <is>
          <t>xGA</t>
        </is>
      </c>
      <c r="N2" s="46" t="inlineStr">
        <is>
          <t>xGD</t>
        </is>
      </c>
      <c r="O2" s="46" t="inlineStr">
        <is>
          <t>xGD/90</t>
        </is>
      </c>
      <c r="P2" s="46" t="inlineStr">
        <is>
          <t>Attendance</t>
        </is>
      </c>
      <c r="Q2" s="46" t="inlineStr">
        <is>
          <t>Top Team Scorer</t>
        </is>
      </c>
      <c r="R2" s="46" t="inlineStr">
        <is>
          <t>Goalkeeper</t>
        </is>
      </c>
      <c r="S2" s="46" t="inlineStr">
        <is>
          <t>Notes</t>
        </is>
      </c>
      <c r="AO2" s="21" t="inlineStr">
        <is>
          <t>Goals Scored</t>
        </is>
      </c>
      <c r="AP2" s="23" t="inlineStr">
        <is>
          <t>Goals Conceded</t>
        </is>
      </c>
      <c r="AQ2" s="23" t="inlineStr">
        <is>
          <t>Goal Difference</t>
        </is>
      </c>
      <c r="AR2" s="20" t="inlineStr">
        <is>
          <t>Goal Difference Per Game</t>
        </is>
      </c>
      <c r="AT2" t="inlineStr">
        <is>
          <t>Goal Difference Per Game</t>
        </is>
      </c>
    </row>
    <row r="3" ht="17.1" customHeight="1" s="43">
      <c r="A3" s="46" t="n">
        <v>1</v>
      </c>
      <c r="B3" s="1" t="inlineStr">
        <is>
          <t>Club Crest Liverpool</t>
        </is>
      </c>
      <c r="C3" s="11" t="n">
        <v>38</v>
      </c>
      <c r="D3" s="11" t="n">
        <v>25</v>
      </c>
      <c r="E3" s="11" t="n">
        <v>9</v>
      </c>
      <c r="F3" s="11" t="n">
        <v>4</v>
      </c>
      <c r="G3" s="11" t="n">
        <v>86</v>
      </c>
      <c r="H3" s="11" t="n">
        <v>41</v>
      </c>
      <c r="I3" s="11" t="n">
        <v>45</v>
      </c>
      <c r="J3" s="11" t="n">
        <v>84</v>
      </c>
      <c r="K3" s="11" t="n">
        <v>2.21</v>
      </c>
      <c r="L3" s="11" t="n">
        <v>82.2</v>
      </c>
      <c r="M3" s="11" t="n">
        <v>38.6</v>
      </c>
      <c r="N3" s="11" t="n">
        <v>43.6</v>
      </c>
      <c r="O3" s="11" t="n">
        <v>1.15</v>
      </c>
      <c r="P3" s="37" t="n">
        <v>60324</v>
      </c>
      <c r="Q3" s="1" t="inlineStr">
        <is>
          <t>Mohamed Salah - 29</t>
        </is>
      </c>
      <c r="R3" s="1" t="inlineStr">
        <is>
          <t>Alisson</t>
        </is>
      </c>
      <c r="S3" s="11" t="inlineStr">
        <is>
          <t>→ Champions League via league finish</t>
        </is>
      </c>
      <c r="AL3">
        <f>AN5</f>
        <v/>
      </c>
    </row>
    <row r="4" ht="30" customHeight="1" s="43">
      <c r="A4" s="46" t="n">
        <v>2</v>
      </c>
      <c r="B4" s="1" t="inlineStr">
        <is>
          <t>Club Crest Arsenal</t>
        </is>
      </c>
      <c r="C4" s="11" t="n">
        <v>38</v>
      </c>
      <c r="D4" s="11" t="n">
        <v>20</v>
      </c>
      <c r="E4" s="11" t="n">
        <v>14</v>
      </c>
      <c r="F4" s="11" t="n">
        <v>4</v>
      </c>
      <c r="G4" s="11" t="n">
        <v>69</v>
      </c>
      <c r="H4" s="11" t="n">
        <v>34</v>
      </c>
      <c r="I4" s="11" t="n">
        <v>35</v>
      </c>
      <c r="J4" s="11" t="n">
        <v>74</v>
      </c>
      <c r="K4" s="11" t="n">
        <v>1.95</v>
      </c>
      <c r="L4" s="11" t="n">
        <v>59.9</v>
      </c>
      <c r="M4" s="11" t="n">
        <v>34.4</v>
      </c>
      <c r="N4" s="11" t="n">
        <v>25.5</v>
      </c>
      <c r="O4" s="11" t="n">
        <v>0.67</v>
      </c>
      <c r="P4" s="37" t="n">
        <v>60251</v>
      </c>
      <c r="Q4" s="1" t="inlineStr">
        <is>
          <t>Kai Havertz - 9</t>
        </is>
      </c>
      <c r="R4" s="1" t="inlineStr">
        <is>
          <t>David Raya</t>
        </is>
      </c>
      <c r="S4" s="11" t="inlineStr">
        <is>
          <t>→ Champions League via league finish</t>
        </is>
      </c>
    </row>
    <row r="5" ht="30" customHeight="1" s="43">
      <c r="A5" s="46" t="n">
        <v>3</v>
      </c>
      <c r="B5" s="1" t="inlineStr">
        <is>
          <t>Club Crest Manchester City</t>
        </is>
      </c>
      <c r="C5" s="11" t="n">
        <v>38</v>
      </c>
      <c r="D5" s="11" t="n">
        <v>21</v>
      </c>
      <c r="E5" s="11" t="n">
        <v>8</v>
      </c>
      <c r="F5" s="11" t="n">
        <v>9</v>
      </c>
      <c r="G5" s="11" t="n">
        <v>72</v>
      </c>
      <c r="H5" s="11" t="n">
        <v>44</v>
      </c>
      <c r="I5" s="11" t="n">
        <v>28</v>
      </c>
      <c r="J5" s="11" t="n">
        <v>71</v>
      </c>
      <c r="K5" s="11" t="n">
        <v>1.87</v>
      </c>
      <c r="L5" s="11" t="n">
        <v>68.09999999999999</v>
      </c>
      <c r="M5" s="11" t="n">
        <v>47.7</v>
      </c>
      <c r="N5" s="11" t="n">
        <v>20.4</v>
      </c>
      <c r="O5" s="11" t="n">
        <v>0.54</v>
      </c>
      <c r="P5" s="37" t="n">
        <v>52756</v>
      </c>
      <c r="Q5" s="1" t="inlineStr">
        <is>
          <t>Erling Haaland - 22</t>
        </is>
      </c>
      <c r="R5" s="1" t="inlineStr">
        <is>
          <t>Ederson</t>
        </is>
      </c>
      <c r="S5" s="11" t="inlineStr">
        <is>
          <t>→ Champions League via league finish</t>
        </is>
      </c>
      <c r="AM5">
        <f>C3</f>
        <v/>
      </c>
      <c r="AN5">
        <f>IFERROR(VLOOKUP(RIGHT(B3,LEN(B3)-11),Helpers!$B$4:$C$36,2,0),"")</f>
        <v/>
      </c>
      <c r="AO5">
        <f>IF(IF(COUNTIF($AW$5:$AW$100,AW5)&gt;1,TRUE,FALSE),"T"&amp;AW5,AW5)</f>
        <v/>
      </c>
      <c r="AP5">
        <f>IF(IF(COUNTIF($AX$5:$AX$100,AX5)&gt;1,TRUE,FALSE),"T"&amp;AX5,AX5)</f>
        <v/>
      </c>
      <c r="AQ5">
        <f>IF(IF(COUNTIF($AY$5:$AY$100,AY5)&gt;1,TRUE,FALSE),"T"&amp;AY5,AY5)</f>
        <v/>
      </c>
      <c r="AR5">
        <f>IF(IF(COUNTIF($AZ$5:$AZ$100,AZ5)&gt;1,TRUE,FALSE),"T"&amp;AZ5,AZ5)</f>
        <v/>
      </c>
      <c r="AT5" s="27">
        <f>IFERROR(I3/C3,"")</f>
        <v/>
      </c>
      <c r="AW5">
        <f>RANK(G3,(G$3,G$8,G$13,G$18,G$23,G$28,G$33,G$38,G$43,G$48,G$53,G$58,G$63,G$68,G$73,G$78,G$83,G$88,G$93,G$98))</f>
        <v/>
      </c>
      <c r="AX5">
        <f>RANK(H3,(H$3,H$8,H$13,H$18,H$23,H$28,H$33,H$38,H$43,H$48,H$53,H$58,H$63,H$68,H$73,H$78,H$83,H$88,H$93,H$98),1)</f>
        <v/>
      </c>
      <c r="AY5">
        <f>RANK(I3,(I$3,I$8,I$13,I$18,I$23,I$28,I$33,I$38,I$43,I$48,I$53,I$58,I$63,I$68,I$73,I$78,I$83,I$88,I$93,I$98),0)</f>
        <v/>
      </c>
      <c r="AZ5">
        <f>RANK(AT5,(AT$5,AT$10,AT$15,AT$20,AT$25,AT$30,AT$35,AT$40,AT$45,AT$50,AT$55,AT$60,AT$65,AT$70,AT$75,AT$80,AT$85,AT$90,AT$95,AT$100),0)</f>
        <v/>
      </c>
    </row>
    <row r="6" ht="30" customHeight="1" s="43">
      <c r="A6" s="46" t="n">
        <v>4</v>
      </c>
      <c r="B6" s="1" t="inlineStr">
        <is>
          <t>Club Crest Chelsea</t>
        </is>
      </c>
      <c r="C6" s="11" t="n">
        <v>38</v>
      </c>
      <c r="D6" s="11" t="n">
        <v>20</v>
      </c>
      <c r="E6" s="11" t="n">
        <v>9</v>
      </c>
      <c r="F6" s="11" t="n">
        <v>9</v>
      </c>
      <c r="G6" s="11" t="n">
        <v>64</v>
      </c>
      <c r="H6" s="11" t="n">
        <v>43</v>
      </c>
      <c r="I6" s="11" t="n">
        <v>21</v>
      </c>
      <c r="J6" s="11" t="n">
        <v>69</v>
      </c>
      <c r="K6" s="11" t="n">
        <v>1.82</v>
      </c>
      <c r="L6" s="11" t="n">
        <v>67.8</v>
      </c>
      <c r="M6" s="11" t="n">
        <v>47.3</v>
      </c>
      <c r="N6" s="11" t="n">
        <v>20.5</v>
      </c>
      <c r="O6" s="11" t="n">
        <v>0.54</v>
      </c>
      <c r="P6" s="37" t="n">
        <v>39672</v>
      </c>
      <c r="Q6" s="1" t="inlineStr">
        <is>
          <t>Cole Palmer - 15</t>
        </is>
      </c>
      <c r="R6" s="1" t="inlineStr">
        <is>
          <t>Robert Sánchez</t>
        </is>
      </c>
      <c r="S6" s="11" t="inlineStr">
        <is>
          <t>→ Champions League via league finish</t>
        </is>
      </c>
      <c r="AN6">
        <f>IFERROR(VLOOKUP(RIGHT(B4,LEN(B4)-11),Helpers!$B$4:$C$36,2,0),"")</f>
        <v/>
      </c>
    </row>
    <row r="7" ht="30" customHeight="1" s="43">
      <c r="A7" s="46" t="n">
        <v>5</v>
      </c>
      <c r="B7" s="1" t="inlineStr">
        <is>
          <t>Club Crest Newcastle Utd</t>
        </is>
      </c>
      <c r="C7" s="11" t="n">
        <v>38</v>
      </c>
      <c r="D7" s="11" t="n">
        <v>20</v>
      </c>
      <c r="E7" s="11" t="n">
        <v>6</v>
      </c>
      <c r="F7" s="11" t="n">
        <v>12</v>
      </c>
      <c r="G7" s="11" t="n">
        <v>68</v>
      </c>
      <c r="H7" s="11" t="n">
        <v>47</v>
      </c>
      <c r="I7" s="11" t="n">
        <v>21</v>
      </c>
      <c r="J7" s="11" t="n">
        <v>66</v>
      </c>
      <c r="K7" s="11" t="n">
        <v>1.74</v>
      </c>
      <c r="L7" s="11" t="n">
        <v>63.8</v>
      </c>
      <c r="M7" s="11" t="n">
        <v>45.5</v>
      </c>
      <c r="N7" s="11" t="n">
        <v>18.3</v>
      </c>
      <c r="O7" s="11" t="n">
        <v>0.48</v>
      </c>
      <c r="P7" s="37" t="n">
        <v>52187</v>
      </c>
      <c r="Q7" s="1" t="inlineStr">
        <is>
          <t>Alexander Isak - 23</t>
        </is>
      </c>
      <c r="R7" s="1" t="inlineStr">
        <is>
          <t>Nick Pope</t>
        </is>
      </c>
      <c r="S7" s="11" t="inlineStr">
        <is>
          <t>→ Champions League via league finish</t>
        </is>
      </c>
      <c r="AN7">
        <f>IFERROR(VLOOKUP(RIGHT(B5,LEN(B5)-11),Helpers!$B$4:$C$36,2,0),"")</f>
        <v/>
      </c>
    </row>
    <row r="8" ht="17.1" customHeight="1" s="43">
      <c r="A8" s="46" t="n">
        <v>6</v>
      </c>
      <c r="B8" s="1" t="inlineStr">
        <is>
          <t>Club Crest Aston Villa</t>
        </is>
      </c>
      <c r="C8" s="11" t="n">
        <v>38</v>
      </c>
      <c r="D8" s="11" t="n">
        <v>19</v>
      </c>
      <c r="E8" s="11" t="n">
        <v>9</v>
      </c>
      <c r="F8" s="11" t="n">
        <v>10</v>
      </c>
      <c r="G8" s="11" t="n">
        <v>58</v>
      </c>
      <c r="H8" s="11" t="n">
        <v>51</v>
      </c>
      <c r="I8" s="11" t="n">
        <v>7</v>
      </c>
      <c r="J8" s="11" t="n">
        <v>66</v>
      </c>
      <c r="K8" s="11" t="n">
        <v>1.74</v>
      </c>
      <c r="L8" s="11" t="n">
        <v>56.1</v>
      </c>
      <c r="M8" s="11" t="n">
        <v>50.1</v>
      </c>
      <c r="N8" s="11" t="n">
        <v>5.9</v>
      </c>
      <c r="O8" s="11" t="n">
        <v>0.16</v>
      </c>
      <c r="P8" s="37" t="n">
        <v>42079</v>
      </c>
      <c r="Q8" s="1" t="inlineStr">
        <is>
          <t>Ollie Watkins - 16</t>
        </is>
      </c>
      <c r="R8" s="1" t="inlineStr">
        <is>
          <t>Emiliano Martínez</t>
        </is>
      </c>
      <c r="S8" s="11" t="inlineStr">
        <is>
          <t>→ Europa League via league finish</t>
        </is>
      </c>
      <c r="AL8">
        <f>AN10</f>
        <v/>
      </c>
      <c r="AN8">
        <f>IFERROR(VLOOKUP(RIGHT(B6,LEN(B6)-11),Helpers!$B$4:$C$36,2,0),"")</f>
        <v/>
      </c>
    </row>
    <row r="9" ht="30" customHeight="1" s="43">
      <c r="A9" s="46" t="n">
        <v>7</v>
      </c>
      <c r="B9" s="1" t="inlineStr">
        <is>
          <t>Club Crest Nott'ham Forest</t>
        </is>
      </c>
      <c r="C9" s="11" t="n">
        <v>38</v>
      </c>
      <c r="D9" s="11" t="n">
        <v>19</v>
      </c>
      <c r="E9" s="11" t="n">
        <v>8</v>
      </c>
      <c r="F9" s="11" t="n">
        <v>11</v>
      </c>
      <c r="G9" s="11" t="n">
        <v>58</v>
      </c>
      <c r="H9" s="11" t="n">
        <v>46</v>
      </c>
      <c r="I9" s="11" t="n">
        <v>12</v>
      </c>
      <c r="J9" s="11" t="n">
        <v>65</v>
      </c>
      <c r="K9" s="11" t="n">
        <v>1.71</v>
      </c>
      <c r="L9" s="11" t="n">
        <v>45.5</v>
      </c>
      <c r="M9" s="11" t="n">
        <v>48.9</v>
      </c>
      <c r="N9" s="11" t="n">
        <v>-3.4</v>
      </c>
      <c r="O9" s="11" t="n">
        <v>-0.09</v>
      </c>
      <c r="P9" s="37" t="n">
        <v>30059</v>
      </c>
      <c r="Q9" s="1" t="inlineStr">
        <is>
          <t>Chris Wood - 20</t>
        </is>
      </c>
      <c r="R9" s="1" t="inlineStr">
        <is>
          <t>Matz Sels</t>
        </is>
      </c>
      <c r="S9" s="11" t="inlineStr">
        <is>
          <t>→ Conference League via league finish</t>
        </is>
      </c>
      <c r="AN9">
        <f>IFERROR(VLOOKUP(RIGHT(B7,LEN(B7)-11),Helpers!$B$4:$C$36,2,0),"")</f>
        <v/>
      </c>
    </row>
    <row r="10" ht="30" customHeight="1" s="43">
      <c r="A10" s="46" t="n">
        <v>8</v>
      </c>
      <c r="B10" s="1" t="inlineStr">
        <is>
          <t>Club Crest Brighton</t>
        </is>
      </c>
      <c r="C10" s="11" t="n">
        <v>38</v>
      </c>
      <c r="D10" s="11" t="n">
        <v>16</v>
      </c>
      <c r="E10" s="11" t="n">
        <v>13</v>
      </c>
      <c r="F10" s="11" t="n">
        <v>9</v>
      </c>
      <c r="G10" s="11" t="n">
        <v>66</v>
      </c>
      <c r="H10" s="11" t="n">
        <v>59</v>
      </c>
      <c r="I10" s="11" t="n">
        <v>7</v>
      </c>
      <c r="J10" s="11" t="n">
        <v>61</v>
      </c>
      <c r="K10" s="11" t="n">
        <v>1.61</v>
      </c>
      <c r="L10" s="11" t="n">
        <v>58.7</v>
      </c>
      <c r="M10" s="11" t="n">
        <v>54.6</v>
      </c>
      <c r="N10" s="11" t="n">
        <v>4.1</v>
      </c>
      <c r="O10" s="11" t="n">
        <v>0.11</v>
      </c>
      <c r="P10" s="37" t="n">
        <v>31798</v>
      </c>
      <c r="Q10" s="11" t="inlineStr">
        <is>
          <t>Danny Welbeck, João Pedro... - 10</t>
        </is>
      </c>
      <c r="R10" s="1" t="inlineStr">
        <is>
          <t>Bart Verbruggen</t>
        </is>
      </c>
      <c r="S10" s="11" t="n"/>
      <c r="AM10">
        <f>C8</f>
        <v/>
      </c>
      <c r="AN10">
        <f>IFERROR(VLOOKUP(RIGHT(B8,LEN(B8)-11),Helpers!$B$4:$C$36,2,0),"")</f>
        <v/>
      </c>
      <c r="AO10">
        <f>IF(IF(COUNTIF($AW$5:$AW$100,AW10)&gt;1,TRUE,FALSE),"T"&amp;AW10,AW10)</f>
        <v/>
      </c>
      <c r="AP10">
        <f>IF(IF(COUNTIF($AX$5:$AX$100,AX10)&gt;1,TRUE,FALSE),"T"&amp;AX10,AX10)</f>
        <v/>
      </c>
      <c r="AQ10">
        <f>IF(IF(COUNTIF($AY$5:$AY$100,AY10)&gt;1,TRUE,FALSE),"T"&amp;AY10,AY10)</f>
        <v/>
      </c>
      <c r="AR10">
        <f>IF(IF(COUNTIF($AZ$5:$AZ$100,AZ10)&gt;1,TRUE,FALSE),"T"&amp;AZ10,AZ10)</f>
        <v/>
      </c>
      <c r="AT10" s="27">
        <f>IFERROR(I8/C8,"")</f>
        <v/>
      </c>
      <c r="AW10">
        <f>RANK(G8,(G$3,G$8,G$13,G$18,G$23,G$28,G$33,G$38,G$43,G$48,G$53,G$58,G$63,G$68,G$73,G$78,G$83,G$88,G$93,G$98))</f>
        <v/>
      </c>
      <c r="AX10">
        <f>RANK(H8,(H$3,H$8,H$13,H$18,H$23,H$28,H$33,H$38,H$43,H$48,H$53,H$58,H$63,H$68,H$73,H$78,H$83,H$88,H$93,H$98),1)</f>
        <v/>
      </c>
      <c r="AY10">
        <f>RANK(I8,(I$3,I$8,I$13,I$18,I$23,I$28,I$33,I$38,I$43,I$48,I$53,I$58,I$63,I$68,I$73,I$78,I$83,I$88,I$93,I$98),0)</f>
        <v/>
      </c>
      <c r="AZ10">
        <f>RANK(AT10,(AT$5,AT$10,AT$15,AT$20,AT$25,AT$30,AT$35,AT$40,AT$45,AT$50,AT$55,AT$60,AT$65,AT$70,AT$75,AT$80,AT$85,AT$90,AT$95,AT$100),0)</f>
        <v/>
      </c>
    </row>
    <row r="11">
      <c r="A11" s="46" t="n">
        <v>9</v>
      </c>
      <c r="B11" s="1" t="inlineStr">
        <is>
          <t>Club Crest Bournemouth</t>
        </is>
      </c>
      <c r="C11" s="11" t="n">
        <v>38</v>
      </c>
      <c r="D11" s="11" t="n">
        <v>15</v>
      </c>
      <c r="E11" s="11" t="n">
        <v>11</v>
      </c>
      <c r="F11" s="11" t="n">
        <v>12</v>
      </c>
      <c r="G11" s="11" t="n">
        <v>58</v>
      </c>
      <c r="H11" s="11" t="n">
        <v>46</v>
      </c>
      <c r="I11" s="11" t="n">
        <v>12</v>
      </c>
      <c r="J11" s="11" t="n">
        <v>56</v>
      </c>
      <c r="K11" s="11" t="n">
        <v>1.47</v>
      </c>
      <c r="L11" s="11" t="n">
        <v>64</v>
      </c>
      <c r="M11" s="11" t="n">
        <v>48.5</v>
      </c>
      <c r="N11" s="11" t="n">
        <v>15.5</v>
      </c>
      <c r="O11" s="11" t="n">
        <v>0.41</v>
      </c>
      <c r="P11" s="37" t="n">
        <v>11210</v>
      </c>
      <c r="Q11" s="1" t="inlineStr">
        <is>
          <t>Justin Kluivert - 12</t>
        </is>
      </c>
      <c r="R11" s="1" t="inlineStr">
        <is>
          <t>Kepa Arrizabalaga</t>
        </is>
      </c>
      <c r="S11" s="11" t="n"/>
      <c r="AN11">
        <f>IFERROR(VLOOKUP(RIGHT(B9,LEN(B9)-11),Helpers!$B$4:$C$36,2,0),"")</f>
        <v/>
      </c>
    </row>
    <row r="12">
      <c r="A12" s="46" t="n">
        <v>10</v>
      </c>
      <c r="B12" s="1" t="inlineStr">
        <is>
          <t>Club Crest Brentford</t>
        </is>
      </c>
      <c r="C12" s="11" t="n">
        <v>38</v>
      </c>
      <c r="D12" s="11" t="n">
        <v>16</v>
      </c>
      <c r="E12" s="11" t="n">
        <v>8</v>
      </c>
      <c r="F12" s="11" t="n">
        <v>14</v>
      </c>
      <c r="G12" s="11" t="n">
        <v>66</v>
      </c>
      <c r="H12" s="11" t="n">
        <v>57</v>
      </c>
      <c r="I12" s="11" t="n">
        <v>9</v>
      </c>
      <c r="J12" s="11" t="n">
        <v>56</v>
      </c>
      <c r="K12" s="11" t="n">
        <v>1.47</v>
      </c>
      <c r="L12" s="11" t="n">
        <v>59</v>
      </c>
      <c r="M12" s="11" t="n">
        <v>55.4</v>
      </c>
      <c r="N12" s="11" t="n">
        <v>3.6</v>
      </c>
      <c r="O12" s="11" t="n">
        <v>0.09</v>
      </c>
      <c r="P12" s="37" t="n">
        <v>18742</v>
      </c>
      <c r="Q12" s="1" t="inlineStr">
        <is>
          <t>Bryan Mbeumo - 20</t>
        </is>
      </c>
      <c r="R12" s="1" t="inlineStr">
        <is>
          <t>Mark Flekken</t>
        </is>
      </c>
      <c r="S12" s="11" t="n"/>
      <c r="AN12">
        <f>IFERROR(VLOOKUP(RIGHT(B10,LEN(B10)-11),Helpers!$B$4:$C$36,2,0),"")</f>
        <v/>
      </c>
    </row>
    <row r="13">
      <c r="A13" s="46" t="n">
        <v>11</v>
      </c>
      <c r="B13" s="1" t="inlineStr">
        <is>
          <t>Club Crest Fulham</t>
        </is>
      </c>
      <c r="C13" s="11" t="n">
        <v>38</v>
      </c>
      <c r="D13" s="11" t="n">
        <v>15</v>
      </c>
      <c r="E13" s="11" t="n">
        <v>9</v>
      </c>
      <c r="F13" s="11" t="n">
        <v>14</v>
      </c>
      <c r="G13" s="11" t="n">
        <v>54</v>
      </c>
      <c r="H13" s="11" t="n">
        <v>54</v>
      </c>
      <c r="I13" s="11" t="n">
        <v>0</v>
      </c>
      <c r="J13" s="11" t="n">
        <v>54</v>
      </c>
      <c r="K13" s="11" t="n">
        <v>1.42</v>
      </c>
      <c r="L13" s="11" t="n">
        <v>49</v>
      </c>
      <c r="M13" s="11" t="n">
        <v>47.2</v>
      </c>
      <c r="N13" s="11" t="n">
        <v>1.8</v>
      </c>
      <c r="O13" s="11" t="n">
        <v>0.05</v>
      </c>
      <c r="P13" s="37" t="n">
        <v>26826</v>
      </c>
      <c r="Q13" s="1" t="inlineStr">
        <is>
          <t>Raúl Jiménez - 12</t>
        </is>
      </c>
      <c r="R13" s="1" t="inlineStr">
        <is>
          <t>Bernd Leno</t>
        </is>
      </c>
      <c r="S13" s="11" t="n"/>
      <c r="AL13">
        <f>AN15</f>
        <v/>
      </c>
      <c r="AN13">
        <f>IFERROR(VLOOKUP(RIGHT(B11,LEN(B11)-11),Helpers!$B$4:$C$36,2,0),"")</f>
        <v/>
      </c>
    </row>
    <row r="14">
      <c r="A14" s="46" t="n">
        <v>12</v>
      </c>
      <c r="B14" s="1" t="inlineStr">
        <is>
          <t>Club Crest Crystal Palace</t>
        </is>
      </c>
      <c r="C14" s="11" t="n">
        <v>38</v>
      </c>
      <c r="D14" s="11" t="n">
        <v>13</v>
      </c>
      <c r="E14" s="11" t="n">
        <v>14</v>
      </c>
      <c r="F14" s="11" t="n">
        <v>11</v>
      </c>
      <c r="G14" s="11" t="n">
        <v>51</v>
      </c>
      <c r="H14" s="11" t="n">
        <v>51</v>
      </c>
      <c r="I14" s="11" t="n">
        <v>0</v>
      </c>
      <c r="J14" s="11" t="n">
        <v>53</v>
      </c>
      <c r="K14" s="11" t="n">
        <v>1.39</v>
      </c>
      <c r="L14" s="11" t="n">
        <v>60.4</v>
      </c>
      <c r="M14" s="11" t="n">
        <v>49.1</v>
      </c>
      <c r="N14" s="11" t="n">
        <v>11.3</v>
      </c>
      <c r="O14" s="11" t="n">
        <v>0.3</v>
      </c>
      <c r="P14" s="37" t="n">
        <v>25064</v>
      </c>
      <c r="Q14" s="1" t="inlineStr">
        <is>
          <t>Jean-Philippe Mateta - 14</t>
        </is>
      </c>
      <c r="R14" s="1" t="inlineStr">
        <is>
          <t>Dean Henderson</t>
        </is>
      </c>
      <c r="S14" s="11" t="inlineStr">
        <is>
          <t>→ Europa League via cup win</t>
        </is>
      </c>
      <c r="AN14">
        <f>IFERROR(VLOOKUP(RIGHT(B12,LEN(B12)-11),Helpers!$B$4:$C$36,2,0),"")</f>
        <v/>
      </c>
    </row>
    <row r="15">
      <c r="A15" s="46" t="n">
        <v>13</v>
      </c>
      <c r="B15" s="1" t="inlineStr">
        <is>
          <t>Club Crest Everton</t>
        </is>
      </c>
      <c r="C15" s="11" t="n">
        <v>38</v>
      </c>
      <c r="D15" s="11" t="n">
        <v>11</v>
      </c>
      <c r="E15" s="11" t="n">
        <v>15</v>
      </c>
      <c r="F15" s="11" t="n">
        <v>12</v>
      </c>
      <c r="G15" s="11" t="n">
        <v>42</v>
      </c>
      <c r="H15" s="11" t="n">
        <v>44</v>
      </c>
      <c r="I15" s="11" t="n">
        <v>-2</v>
      </c>
      <c r="J15" s="11" t="n">
        <v>48</v>
      </c>
      <c r="K15" s="11" t="n">
        <v>1.26</v>
      </c>
      <c r="L15" s="11" t="n">
        <v>41.8</v>
      </c>
      <c r="M15" s="11" t="n">
        <v>46.2</v>
      </c>
      <c r="N15" s="11" t="n">
        <v>-4.5</v>
      </c>
      <c r="O15" s="11" t="n">
        <v>-0.12</v>
      </c>
      <c r="P15" s="37" t="n">
        <v>38439</v>
      </c>
      <c r="Q15" s="1" t="inlineStr">
        <is>
          <t>Iliman Ndiaye - 9</t>
        </is>
      </c>
      <c r="R15" s="1" t="inlineStr">
        <is>
          <t>Jordan Pickford</t>
        </is>
      </c>
      <c r="S15" s="11" t="n"/>
      <c r="AM15">
        <f>C13</f>
        <v/>
      </c>
      <c r="AN15">
        <f>IFERROR(VLOOKUP(RIGHT(B13,LEN(B13)-11),Helpers!$B$4:$C$36,2,0),"")</f>
        <v/>
      </c>
      <c r="AO15">
        <f>IF(IF(COUNTIF($AW$5:$AW$100,AW15)&gt;1,TRUE,FALSE),"T"&amp;AW15,AW15)</f>
        <v/>
      </c>
      <c r="AP15">
        <f>IF(IF(COUNTIF($AX$5:$AX$100,AX15)&gt;1,TRUE,FALSE),"T"&amp;AX15,AX15)</f>
        <v/>
      </c>
      <c r="AQ15">
        <f>IF(IF(COUNTIF($AY$5:$AY$100,AY15)&gt;1,TRUE,FALSE),"T"&amp;AY15,AY15)</f>
        <v/>
      </c>
      <c r="AR15">
        <f>IF(IF(COUNTIF($AZ$5:$AZ$100,AZ15)&gt;1,TRUE,FALSE),"T"&amp;AZ15,AZ15)</f>
        <v/>
      </c>
      <c r="AT15" s="27">
        <f>IFERROR(I13/C13,"")</f>
        <v/>
      </c>
      <c r="AW15">
        <f>RANK(G13,(G$3,G$8,G$13,G$18,G$23,G$28,G$33,G$38,G$43,G$48,G$53,G$58,G$63,G$68,G$73,G$78,G$83,G$88,G$93,G$98))</f>
        <v/>
      </c>
      <c r="AX15">
        <f>RANK(H13,(H$3,H$8,H$13,H$18,H$23,H$28,H$33,H$38,H$43,H$48,H$53,H$58,H$63,H$68,H$73,H$78,H$83,H$88,H$93,H$98),1)</f>
        <v/>
      </c>
      <c r="AY15">
        <f>RANK(I13,(I$3,I$8,I$13,I$18,I$23,I$28,I$33,I$38,I$43,I$48,I$53,I$58,I$63,I$68,I$73,I$78,I$83,I$88,I$93,I$98),0)</f>
        <v/>
      </c>
      <c r="AZ15">
        <f>RANK(AT15,(AT$5,AT$10,AT$15,AT$20,AT$25,AT$30,AT$35,AT$40,AT$45,AT$50,AT$55,AT$60,AT$65,AT$70,AT$75,AT$80,AT$85,AT$90,AT$95,AT$100),0)</f>
        <v/>
      </c>
    </row>
    <row r="16">
      <c r="A16" s="46" t="n">
        <v>14</v>
      </c>
      <c r="B16" s="1" t="inlineStr">
        <is>
          <t>Club Crest West Ham</t>
        </is>
      </c>
      <c r="C16" s="11" t="n">
        <v>38</v>
      </c>
      <c r="D16" s="11" t="n">
        <v>11</v>
      </c>
      <c r="E16" s="11" t="n">
        <v>10</v>
      </c>
      <c r="F16" s="11" t="n">
        <v>17</v>
      </c>
      <c r="G16" s="11" t="n">
        <v>46</v>
      </c>
      <c r="H16" s="11" t="n">
        <v>62</v>
      </c>
      <c r="I16" s="11" t="n">
        <v>-16</v>
      </c>
      <c r="J16" s="11" t="n">
        <v>43</v>
      </c>
      <c r="K16" s="11" t="n">
        <v>1.13</v>
      </c>
      <c r="L16" s="11" t="n">
        <v>47</v>
      </c>
      <c r="M16" s="11" t="n">
        <v>59.7</v>
      </c>
      <c r="N16" s="11" t="n">
        <v>-12.7</v>
      </c>
      <c r="O16" s="11" t="n">
        <v>-0.33</v>
      </c>
      <c r="P16" s="37" t="n">
        <v>62463</v>
      </c>
      <c r="Q16" s="1" t="inlineStr">
        <is>
          <t>Jarrod Bowen - 13</t>
        </is>
      </c>
      <c r="R16" s="1" t="inlineStr">
        <is>
          <t>Alphonse Areola</t>
        </is>
      </c>
      <c r="S16" s="11" t="n"/>
      <c r="AN16">
        <f>IFERROR(VLOOKUP(RIGHT(B14,LEN(B14)-11),Helpers!$B$4:$C$36,2,0),"")</f>
        <v/>
      </c>
    </row>
    <row r="17">
      <c r="A17" s="46" t="n">
        <v>15</v>
      </c>
      <c r="B17" s="1" t="inlineStr">
        <is>
          <t>Club Crest Manchester Utd</t>
        </is>
      </c>
      <c r="C17" s="11" t="n">
        <v>38</v>
      </c>
      <c r="D17" s="11" t="n">
        <v>11</v>
      </c>
      <c r="E17" s="11" t="n">
        <v>9</v>
      </c>
      <c r="F17" s="11" t="n">
        <v>18</v>
      </c>
      <c r="G17" s="11" t="n">
        <v>44</v>
      </c>
      <c r="H17" s="11" t="n">
        <v>54</v>
      </c>
      <c r="I17" s="11" t="n">
        <v>-10</v>
      </c>
      <c r="J17" s="11" t="n">
        <v>42</v>
      </c>
      <c r="K17" s="11" t="n">
        <v>1.11</v>
      </c>
      <c r="L17" s="11" t="n">
        <v>52.6</v>
      </c>
      <c r="M17" s="11" t="n">
        <v>53.8</v>
      </c>
      <c r="N17" s="11" t="n">
        <v>-1.3</v>
      </c>
      <c r="O17" s="11" t="n">
        <v>-0.03</v>
      </c>
      <c r="P17" s="37" t="n">
        <v>73747</v>
      </c>
      <c r="Q17" s="11" t="inlineStr">
        <is>
          <t>Bruno Fernandes, Amad Diallo - 8</t>
        </is>
      </c>
      <c r="R17" s="1" t="inlineStr">
        <is>
          <t>André Onana</t>
        </is>
      </c>
      <c r="S17" s="11" t="n"/>
      <c r="AN17">
        <f>IFERROR(VLOOKUP(RIGHT(B15,LEN(B15)-11),Helpers!$B$4:$C$36,2,0),"")</f>
        <v/>
      </c>
    </row>
    <row r="18" ht="17.1" customHeight="1" s="43">
      <c r="A18" s="46" t="n">
        <v>16</v>
      </c>
      <c r="B18" s="1" t="inlineStr">
        <is>
          <t>Club Crest Wolves</t>
        </is>
      </c>
      <c r="C18" s="11" t="n">
        <v>38</v>
      </c>
      <c r="D18" s="11" t="n">
        <v>12</v>
      </c>
      <c r="E18" s="11" t="n">
        <v>6</v>
      </c>
      <c r="F18" s="11" t="n">
        <v>20</v>
      </c>
      <c r="G18" s="11" t="n">
        <v>54</v>
      </c>
      <c r="H18" s="11" t="n">
        <v>69</v>
      </c>
      <c r="I18" s="11" t="n">
        <v>-15</v>
      </c>
      <c r="J18" s="11" t="n">
        <v>42</v>
      </c>
      <c r="K18" s="11" t="n">
        <v>1.11</v>
      </c>
      <c r="L18" s="11" t="n">
        <v>43.7</v>
      </c>
      <c r="M18" s="11" t="n">
        <v>58.1</v>
      </c>
      <c r="N18" s="11" t="n">
        <v>-14.5</v>
      </c>
      <c r="O18" s="11" t="n">
        <v>-0.38</v>
      </c>
      <c r="P18" s="37" t="n">
        <v>30695</v>
      </c>
      <c r="Q18" s="1" t="inlineStr">
        <is>
          <t>Matheus Cunha - 15</t>
        </is>
      </c>
      <c r="R18" s="1" t="inlineStr">
        <is>
          <t>José Sá</t>
        </is>
      </c>
      <c r="S18" s="11" t="n"/>
      <c r="AL18">
        <f>AN20</f>
        <v/>
      </c>
      <c r="AN18">
        <f>IFERROR(VLOOKUP(RIGHT(B16,LEN(B16)-11),Helpers!$B$4:$C$36,2,0),"")</f>
        <v/>
      </c>
    </row>
    <row r="19">
      <c r="A19" s="46" t="n">
        <v>17</v>
      </c>
      <c r="B19" s="1" t="inlineStr">
        <is>
          <t>Club Crest Tottenham</t>
        </is>
      </c>
      <c r="C19" s="11" t="n">
        <v>38</v>
      </c>
      <c r="D19" s="11" t="n">
        <v>11</v>
      </c>
      <c r="E19" s="11" t="n">
        <v>5</v>
      </c>
      <c r="F19" s="11" t="n">
        <v>22</v>
      </c>
      <c r="G19" s="11" t="n">
        <v>64</v>
      </c>
      <c r="H19" s="11" t="n">
        <v>65</v>
      </c>
      <c r="I19" s="11" t="n">
        <v>-1</v>
      </c>
      <c r="J19" s="11" t="n">
        <v>38</v>
      </c>
      <c r="K19" s="11" t="n">
        <v>1</v>
      </c>
      <c r="L19" s="11" t="n">
        <v>58.8</v>
      </c>
      <c r="M19" s="11" t="n">
        <v>63.3</v>
      </c>
      <c r="N19" s="11" t="n">
        <v>-4.5</v>
      </c>
      <c r="O19" s="11" t="n">
        <v>-0.12</v>
      </c>
      <c r="P19" s="37" t="n">
        <v>61127</v>
      </c>
      <c r="Q19" s="1" t="inlineStr">
        <is>
          <t>Brennan Johnson - 11</t>
        </is>
      </c>
      <c r="R19" s="1" t="inlineStr">
        <is>
          <t>Guglielmo Vicario</t>
        </is>
      </c>
      <c r="S19" s="11" t="n"/>
      <c r="AN19">
        <f>IFERROR(VLOOKUP(RIGHT(B17,LEN(B17)-11),Helpers!$B$4:$C$36,2,0),"")</f>
        <v/>
      </c>
    </row>
    <row r="20">
      <c r="A20" s="46" t="n">
        <v>18</v>
      </c>
      <c r="B20" s="1" t="inlineStr">
        <is>
          <t>Club Crest Leicester City</t>
        </is>
      </c>
      <c r="C20" s="11" t="n">
        <v>38</v>
      </c>
      <c r="D20" s="11" t="n">
        <v>6</v>
      </c>
      <c r="E20" s="11" t="n">
        <v>7</v>
      </c>
      <c r="F20" s="11" t="n">
        <v>25</v>
      </c>
      <c r="G20" s="11" t="n">
        <v>33</v>
      </c>
      <c r="H20" s="11" t="n">
        <v>80</v>
      </c>
      <c r="I20" s="11" t="n">
        <v>-47</v>
      </c>
      <c r="J20" s="11" t="n">
        <v>25</v>
      </c>
      <c r="K20" s="11" t="n">
        <v>0.66</v>
      </c>
      <c r="L20" s="11" t="n">
        <v>32.6</v>
      </c>
      <c r="M20" s="11" t="n">
        <v>71.90000000000001</v>
      </c>
      <c r="N20" s="11" t="n">
        <v>-39.3</v>
      </c>
      <c r="O20" s="11" t="n">
        <v>-1.03</v>
      </c>
      <c r="P20" s="37" t="n">
        <v>31448</v>
      </c>
      <c r="Q20" s="1" t="inlineStr">
        <is>
          <t>Jamie Vardy - 9</t>
        </is>
      </c>
      <c r="R20" s="1" t="inlineStr">
        <is>
          <t>Mads Hermansen</t>
        </is>
      </c>
      <c r="S20" s="11" t="inlineStr">
        <is>
          <t>Relegated</t>
        </is>
      </c>
      <c r="AM20">
        <f>C18</f>
        <v/>
      </c>
      <c r="AN20">
        <f>IFERROR(VLOOKUP(RIGHT(B18,LEN(B18)-11),Helpers!$B$4:$C$36,2,0),"")</f>
        <v/>
      </c>
      <c r="AO20">
        <f>IF(IF(COUNTIF($AW$5:$AW$100,AW20)&gt;1,TRUE,FALSE),"T"&amp;AW20,AW20)</f>
        <v/>
      </c>
      <c r="AP20">
        <f>IF(IF(COUNTIF($AX$5:$AX$100,AX20)&gt;1,TRUE,FALSE),"T"&amp;AX20,AX20)</f>
        <v/>
      </c>
      <c r="AQ20">
        <f>IF(IF(COUNTIF($AY$5:$AY$100,AY20)&gt;1,TRUE,FALSE),"T"&amp;AY20,AY20)</f>
        <v/>
      </c>
      <c r="AR20">
        <f>IF(IF(COUNTIF($AZ$5:$AZ$100,AZ20)&gt;1,TRUE,FALSE),"T"&amp;AZ20,AZ20)</f>
        <v/>
      </c>
      <c r="AT20" s="27">
        <f>IFERROR(I18/C18,"")</f>
        <v/>
      </c>
      <c r="AW20">
        <f>RANK(G18,(G$3,G$8,G$13,G$18,G$23,G$28,G$33,G$38,G$43,G$48,G$53,G$58,G$63,G$68,G$73,G$78,G$83,G$88,G$93,G$98))</f>
        <v/>
      </c>
      <c r="AX20">
        <f>RANK(H18,(H$3,H$8,H$13,H$18,H$23,H$28,H$33,H$38,H$43,H$48,H$53,H$58,H$63,H$68,H$73,H$78,H$83,H$88,H$93,H$98),1)</f>
        <v/>
      </c>
      <c r="AY20">
        <f>RANK(I18,(I$3,I$8,I$13,I$18,I$23,I$28,I$33,I$38,I$43,I$48,I$53,I$58,I$63,I$68,I$73,I$78,I$83,I$88,I$93,I$98),0)</f>
        <v/>
      </c>
      <c r="AZ20">
        <f>RANK(AT20,(AT$5,AT$10,AT$15,AT$20,AT$25,AT$30,AT$35,AT$40,AT$45,AT$50,AT$55,AT$60,AT$65,AT$70,AT$75,AT$80,AT$85,AT$90,AT$95,AT$100),0)</f>
        <v/>
      </c>
    </row>
    <row r="21">
      <c r="A21" s="46" t="n">
        <v>19</v>
      </c>
      <c r="B21" s="1" t="inlineStr">
        <is>
          <t>Club Crest Ipswich Town</t>
        </is>
      </c>
      <c r="C21" s="11" t="n">
        <v>38</v>
      </c>
      <c r="D21" s="11" t="n">
        <v>4</v>
      </c>
      <c r="E21" s="11" t="n">
        <v>10</v>
      </c>
      <c r="F21" s="11" t="n">
        <v>24</v>
      </c>
      <c r="G21" s="11" t="n">
        <v>36</v>
      </c>
      <c r="H21" s="11" t="n">
        <v>82</v>
      </c>
      <c r="I21" s="11" t="n">
        <v>-46</v>
      </c>
      <c r="J21" s="11" t="n">
        <v>22</v>
      </c>
      <c r="K21" s="11" t="n">
        <v>0.58</v>
      </c>
      <c r="L21" s="11" t="n">
        <v>34.4</v>
      </c>
      <c r="M21" s="11" t="n">
        <v>72.7</v>
      </c>
      <c r="N21" s="11" t="n">
        <v>-38.3</v>
      </c>
      <c r="O21" s="11" t="n">
        <v>-1.01</v>
      </c>
      <c r="P21" s="37" t="n">
        <v>29742</v>
      </c>
      <c r="Q21" s="1" t="inlineStr">
        <is>
          <t>Liam Delap - 12</t>
        </is>
      </c>
      <c r="R21" s="1" t="inlineStr">
        <is>
          <t>Arijanet Muric</t>
        </is>
      </c>
      <c r="S21" s="11" t="inlineStr">
        <is>
          <t>Relegated</t>
        </is>
      </c>
      <c r="AN21">
        <f>IFERROR(VLOOKUP(RIGHT(B19,LEN(B19)-11),Helpers!$B$4:$C$36,2,0),"")</f>
        <v/>
      </c>
    </row>
    <row r="22">
      <c r="A22" s="46" t="n">
        <v>20</v>
      </c>
      <c r="B22" s="1" t="inlineStr">
        <is>
          <t>Club Crest Southampton</t>
        </is>
      </c>
      <c r="C22" s="11" t="n">
        <v>38</v>
      </c>
      <c r="D22" s="11" t="n">
        <v>2</v>
      </c>
      <c r="E22" s="11" t="n">
        <v>6</v>
      </c>
      <c r="F22" s="11" t="n">
        <v>30</v>
      </c>
      <c r="G22" s="11" t="n">
        <v>26</v>
      </c>
      <c r="H22" s="11" t="n">
        <v>86</v>
      </c>
      <c r="I22" s="11" t="n">
        <v>-60</v>
      </c>
      <c r="J22" s="11" t="n">
        <v>12</v>
      </c>
      <c r="K22" s="11" t="n">
        <v>0.32</v>
      </c>
      <c r="L22" s="11" t="n">
        <v>32.7</v>
      </c>
      <c r="M22" s="11" t="n">
        <v>84.8</v>
      </c>
      <c r="N22" s="11" t="n">
        <v>-52.1</v>
      </c>
      <c r="O22" s="11" t="n">
        <v>-1.37</v>
      </c>
      <c r="P22" s="37" t="n">
        <v>30882</v>
      </c>
      <c r="Q22" s="1" t="inlineStr">
        <is>
          <t>Paul Onuachu - 4</t>
        </is>
      </c>
      <c r="R22" s="1" t="inlineStr">
        <is>
          <t>Aaron Ramsdale</t>
        </is>
      </c>
      <c r="S22" s="11" t="inlineStr">
        <is>
          <t>Relegated</t>
        </is>
      </c>
      <c r="AN22">
        <f>IFERROR(VLOOKUP(RIGHT(B20,LEN(B20)-11),Helpers!$B$4:$C$36,2,0),"")</f>
        <v/>
      </c>
    </row>
    <row r="23" ht="17.1" customHeight="1" s="43">
      <c r="AL23">
        <f>AN25</f>
        <v/>
      </c>
      <c r="AN23">
        <f>IFERROR(VLOOKUP(RIGHT(B21,LEN(B21)-11),Helpers!$B$4:$C$36,2,0),"")</f>
        <v/>
      </c>
    </row>
    <row r="24" ht="18" customHeight="1" s="43">
      <c r="A24" s="45" t="inlineStr">
        <is>
          <t>Premier League Table</t>
        </is>
      </c>
      <c r="AN24">
        <f>IFERROR(VLOOKUP(RIGHT(B22,LEN(B22)-11),Helpers!$B$4:$C$36,2,0),"")</f>
        <v/>
      </c>
    </row>
    <row r="25" ht="17.1" customHeight="1" s="43">
      <c r="A25" s="46" t="n"/>
      <c r="C25" s="46" t="inlineStr">
        <is>
          <t>Home</t>
        </is>
      </c>
      <c r="P25" s="46" t="inlineStr">
        <is>
          <t>Away</t>
        </is>
      </c>
      <c r="AM25">
        <f>C23</f>
        <v/>
      </c>
      <c r="AN25">
        <f>IFERROR(VLOOKUP(RIGHT(B23,LEN(B23)-11),Helpers!$B$4:$C$36,2,0),"")</f>
        <v/>
      </c>
      <c r="AO25">
        <f>IF(IF(COUNTIF($AW$5:$AW$100,AW25)&gt;1,TRUE,FALSE),"T"&amp;AW25,AW25)</f>
        <v/>
      </c>
      <c r="AP25">
        <f>IF(IF(COUNTIF($AX$5:$AX$100,AX25)&gt;1,TRUE,FALSE),"T"&amp;AX25,AX25)</f>
        <v/>
      </c>
      <c r="AQ25">
        <f>IF(IF(COUNTIF($AY$5:$AY$100,AY25)&gt;1,TRUE,FALSE),"T"&amp;AY25,AY25)</f>
        <v/>
      </c>
      <c r="AR25">
        <f>IF(IF(COUNTIF($AZ$5:$AZ$100,AZ25)&gt;1,TRUE,FALSE),"T"&amp;AZ25,AZ25)</f>
        <v/>
      </c>
      <c r="AT25" s="27">
        <f>IFERROR(I23/C23,"")</f>
        <v/>
      </c>
      <c r="AW25">
        <f>RANK(G23,(G$3,G$8,G$13,G$18,G$23,G$28,G$33,G$38,G$43,G$48,G$53,G$58,G$63,G$68,G$73,G$78,G$83,G$88,G$93,G$98))</f>
        <v/>
      </c>
      <c r="AX25">
        <f>RANK(H23,(H$3,H$8,H$13,H$18,H$23,H$28,H$33,H$38,H$43,H$48,H$53,H$58,H$63,H$68,H$73,H$78,H$83,H$88,H$93,H$98),1)</f>
        <v/>
      </c>
      <c r="AY25">
        <f>RANK(I23,(I$3,I$8,I$13,I$18,I$23,I$28,I$33,I$38,I$43,I$48,I$53,I$58,I$63,I$68,I$73,I$78,I$83,I$88,I$93,I$98),0)</f>
        <v/>
      </c>
      <c r="AZ25">
        <f>RANK(AT25,(AT$5,AT$10,AT$15,AT$20,AT$25,AT$30,AT$35,AT$40,AT$45,AT$50,AT$55,AT$60,AT$65,AT$70,AT$75,AT$80,AT$85,AT$90,AT$95,AT$100),0)</f>
        <v/>
      </c>
    </row>
    <row r="26">
      <c r="A26" s="46" t="inlineStr">
        <is>
          <t>Rk</t>
        </is>
      </c>
      <c r="B26" s="46" t="inlineStr">
        <is>
          <t>Squad</t>
        </is>
      </c>
      <c r="C26" s="46" t="inlineStr">
        <is>
          <t>MP</t>
        </is>
      </c>
      <c r="D26" s="46" t="inlineStr">
        <is>
          <t>W</t>
        </is>
      </c>
      <c r="E26" s="46" t="inlineStr">
        <is>
          <t>D</t>
        </is>
      </c>
      <c r="F26" s="46" t="inlineStr">
        <is>
          <t>L</t>
        </is>
      </c>
      <c r="G26" s="46" t="inlineStr">
        <is>
          <t>GF</t>
        </is>
      </c>
      <c r="H26" s="46" t="inlineStr">
        <is>
          <t>GA</t>
        </is>
      </c>
      <c r="I26" s="46" t="inlineStr">
        <is>
          <t>GD</t>
        </is>
      </c>
      <c r="J26" s="46" t="inlineStr">
        <is>
          <t>Pts</t>
        </is>
      </c>
      <c r="K26" s="46" t="inlineStr">
        <is>
          <t>Pts/MP</t>
        </is>
      </c>
      <c r="L26" s="46" t="inlineStr">
        <is>
          <t>xG</t>
        </is>
      </c>
      <c r="M26" s="46" t="inlineStr">
        <is>
          <t>xGA</t>
        </is>
      </c>
      <c r="N26" s="46" t="inlineStr">
        <is>
          <t>xGD</t>
        </is>
      </c>
      <c r="O26" s="46" t="inlineStr">
        <is>
          <t>xGD/90</t>
        </is>
      </c>
      <c r="P26" s="46" t="inlineStr">
        <is>
          <t>MP</t>
        </is>
      </c>
      <c r="Q26" s="46" t="inlineStr">
        <is>
          <t>W</t>
        </is>
      </c>
      <c r="R26" s="46" t="inlineStr">
        <is>
          <t>D</t>
        </is>
      </c>
      <c r="S26" s="46" t="inlineStr">
        <is>
          <t>L</t>
        </is>
      </c>
      <c r="T26" s="46" t="inlineStr">
        <is>
          <t>GF</t>
        </is>
      </c>
      <c r="U26" s="46" t="inlineStr">
        <is>
          <t>GA</t>
        </is>
      </c>
      <c r="V26" s="46" t="inlineStr">
        <is>
          <t>GD</t>
        </is>
      </c>
      <c r="W26" s="46" t="inlineStr">
        <is>
          <t>Pts</t>
        </is>
      </c>
      <c r="X26" s="46" t="inlineStr">
        <is>
          <t>Pts/MP</t>
        </is>
      </c>
      <c r="Y26" s="46" t="inlineStr">
        <is>
          <t>xG</t>
        </is>
      </c>
      <c r="Z26" s="46" t="inlineStr">
        <is>
          <t>xGA</t>
        </is>
      </c>
      <c r="AA26" s="46" t="inlineStr">
        <is>
          <t>xGD</t>
        </is>
      </c>
      <c r="AB26" s="46" t="inlineStr">
        <is>
          <t>xGD/90</t>
        </is>
      </c>
      <c r="AN26">
        <f>IFERROR(VLOOKUP(RIGHT(B24,LEN(B24)-11),Helpers!$B$4:$C$36,2,0),"")</f>
        <v/>
      </c>
    </row>
    <row r="27">
      <c r="A27" s="46" t="n">
        <v>1</v>
      </c>
      <c r="B27" s="1" t="inlineStr">
        <is>
          <t>Club Crest Liverpool</t>
        </is>
      </c>
      <c r="C27" s="11" t="n">
        <v>19</v>
      </c>
      <c r="D27" s="11" t="n">
        <v>14</v>
      </c>
      <c r="E27" s="11" t="n">
        <v>4</v>
      </c>
      <c r="F27" s="11" t="n">
        <v>1</v>
      </c>
      <c r="G27" s="11" t="n">
        <v>42</v>
      </c>
      <c r="H27" s="11" t="n">
        <v>16</v>
      </c>
      <c r="I27" s="11" t="n">
        <v>26</v>
      </c>
      <c r="J27" s="11" t="n">
        <v>46</v>
      </c>
      <c r="K27" s="11" t="n">
        <v>2.42</v>
      </c>
      <c r="L27" s="11" t="n">
        <v>40.4</v>
      </c>
      <c r="M27" s="11" t="n">
        <v>18.4</v>
      </c>
      <c r="N27" s="11" t="n">
        <v>22</v>
      </c>
      <c r="O27" s="11" t="n">
        <v>1.16</v>
      </c>
      <c r="P27" s="11" t="n">
        <v>19</v>
      </c>
      <c r="Q27" s="11" t="n">
        <v>11</v>
      </c>
      <c r="R27" s="11" t="n">
        <v>5</v>
      </c>
      <c r="S27" s="11" t="n">
        <v>3</v>
      </c>
      <c r="T27" s="11" t="n">
        <v>44</v>
      </c>
      <c r="U27" s="11" t="n">
        <v>25</v>
      </c>
      <c r="V27" s="11" t="n">
        <v>19</v>
      </c>
      <c r="W27" s="11" t="n">
        <v>38</v>
      </c>
      <c r="X27" s="11" t="n">
        <v>2</v>
      </c>
      <c r="Y27" s="11" t="n">
        <v>41.7</v>
      </c>
      <c r="Z27" s="11" t="n">
        <v>20.1</v>
      </c>
      <c r="AA27" s="11" t="n">
        <v>21.6</v>
      </c>
      <c r="AB27" s="11" t="n">
        <v>1.14</v>
      </c>
      <c r="AN27">
        <f>IFERROR(VLOOKUP(RIGHT(B25,LEN(B25)-11),Helpers!$B$4:$C$36,2,0),"")</f>
        <v/>
      </c>
    </row>
    <row r="28">
      <c r="A28" s="46" t="n">
        <v>2</v>
      </c>
      <c r="B28" s="1" t="inlineStr">
        <is>
          <t>Club Crest Arsenal</t>
        </is>
      </c>
      <c r="C28" s="11" t="n">
        <v>19</v>
      </c>
      <c r="D28" s="11" t="n">
        <v>11</v>
      </c>
      <c r="E28" s="11" t="n">
        <v>6</v>
      </c>
      <c r="F28" s="11" t="n">
        <v>2</v>
      </c>
      <c r="G28" s="11" t="n">
        <v>35</v>
      </c>
      <c r="H28" s="11" t="n">
        <v>17</v>
      </c>
      <c r="I28" s="11" t="n">
        <v>18</v>
      </c>
      <c r="J28" s="11" t="n">
        <v>39</v>
      </c>
      <c r="K28" s="11" t="n">
        <v>2.05</v>
      </c>
      <c r="L28" s="11" t="n">
        <v>29.8</v>
      </c>
      <c r="M28" s="11" t="n">
        <v>14.3</v>
      </c>
      <c r="N28" s="11" t="n">
        <v>15.5</v>
      </c>
      <c r="O28" s="11" t="n">
        <v>0.82</v>
      </c>
      <c r="P28" s="11" t="n">
        <v>19</v>
      </c>
      <c r="Q28" s="11" t="n">
        <v>9</v>
      </c>
      <c r="R28" s="11" t="n">
        <v>8</v>
      </c>
      <c r="S28" s="11" t="n">
        <v>2</v>
      </c>
      <c r="T28" s="11" t="n">
        <v>34</v>
      </c>
      <c r="U28" s="11" t="n">
        <v>17</v>
      </c>
      <c r="V28" s="11" t="n">
        <v>17</v>
      </c>
      <c r="W28" s="11" t="n">
        <v>35</v>
      </c>
      <c r="X28" s="11" t="n">
        <v>1.84</v>
      </c>
      <c r="Y28" s="11" t="n">
        <v>30.1</v>
      </c>
      <c r="Z28" s="11" t="n">
        <v>20.1</v>
      </c>
      <c r="AA28" s="11" t="n">
        <v>10</v>
      </c>
      <c r="AB28" s="11" t="n">
        <v>0.52</v>
      </c>
      <c r="AL28">
        <f>AN30</f>
        <v/>
      </c>
      <c r="AN28">
        <f>IFERROR(VLOOKUP(RIGHT(B26,LEN(B26)-11),Helpers!$B$4:$C$36,2,0),"")</f>
        <v/>
      </c>
    </row>
    <row r="29">
      <c r="A29" s="46" t="n">
        <v>3</v>
      </c>
      <c r="B29" s="1" t="inlineStr">
        <is>
          <t>Club Crest Manchester City</t>
        </is>
      </c>
      <c r="C29" s="11" t="n">
        <v>19</v>
      </c>
      <c r="D29" s="11" t="n">
        <v>13</v>
      </c>
      <c r="E29" s="11" t="n">
        <v>3</v>
      </c>
      <c r="F29" s="11" t="n">
        <v>3</v>
      </c>
      <c r="G29" s="11" t="n">
        <v>43</v>
      </c>
      <c r="H29" s="11" t="n">
        <v>23</v>
      </c>
      <c r="I29" s="11" t="n">
        <v>20</v>
      </c>
      <c r="J29" s="11" t="n">
        <v>42</v>
      </c>
      <c r="K29" s="11" t="n">
        <v>2.21</v>
      </c>
      <c r="L29" s="11" t="n">
        <v>37.4</v>
      </c>
      <c r="M29" s="11" t="n">
        <v>22.5</v>
      </c>
      <c r="N29" s="11" t="n">
        <v>14.9</v>
      </c>
      <c r="O29" s="11" t="n">
        <v>0.78</v>
      </c>
      <c r="P29" s="11" t="n">
        <v>19</v>
      </c>
      <c r="Q29" s="11" t="n">
        <v>8</v>
      </c>
      <c r="R29" s="11" t="n">
        <v>5</v>
      </c>
      <c r="S29" s="11" t="n">
        <v>6</v>
      </c>
      <c r="T29" s="11" t="n">
        <v>29</v>
      </c>
      <c r="U29" s="11" t="n">
        <v>21</v>
      </c>
      <c r="V29" s="11" t="n">
        <v>8</v>
      </c>
      <c r="W29" s="11" t="n">
        <v>29</v>
      </c>
      <c r="X29" s="11" t="n">
        <v>1.53</v>
      </c>
      <c r="Y29" s="11" t="n">
        <v>30.7</v>
      </c>
      <c r="Z29" s="11" t="n">
        <v>25.2</v>
      </c>
      <c r="AA29" s="11" t="n">
        <v>5.5</v>
      </c>
      <c r="AB29" s="11" t="n">
        <v>0.29</v>
      </c>
      <c r="AN29">
        <f>IFERROR(VLOOKUP(RIGHT(B27,LEN(B27)-11),Helpers!$B$4:$C$36,2,0),"")</f>
        <v/>
      </c>
    </row>
    <row r="30">
      <c r="A30" s="46" t="n">
        <v>4</v>
      </c>
      <c r="B30" s="1" t="inlineStr">
        <is>
          <t>Club Crest Chelsea</t>
        </is>
      </c>
      <c r="C30" s="11" t="n">
        <v>19</v>
      </c>
      <c r="D30" s="11" t="n">
        <v>12</v>
      </c>
      <c r="E30" s="11" t="n">
        <v>5</v>
      </c>
      <c r="F30" s="11" t="n">
        <v>2</v>
      </c>
      <c r="G30" s="11" t="n">
        <v>35</v>
      </c>
      <c r="H30" s="11" t="n">
        <v>18</v>
      </c>
      <c r="I30" s="11" t="n">
        <v>17</v>
      </c>
      <c r="J30" s="11" t="n">
        <v>41</v>
      </c>
      <c r="K30" s="11" t="n">
        <v>2.16</v>
      </c>
      <c r="L30" s="11" t="n">
        <v>37.2</v>
      </c>
      <c r="M30" s="11" t="n">
        <v>19</v>
      </c>
      <c r="N30" s="11" t="n">
        <v>18.2</v>
      </c>
      <c r="O30" s="11" t="n">
        <v>0.96</v>
      </c>
      <c r="P30" s="11" t="n">
        <v>19</v>
      </c>
      <c r="Q30" s="11" t="n">
        <v>8</v>
      </c>
      <c r="R30" s="11" t="n">
        <v>4</v>
      </c>
      <c r="S30" s="11" t="n">
        <v>7</v>
      </c>
      <c r="T30" s="11" t="n">
        <v>29</v>
      </c>
      <c r="U30" s="11" t="n">
        <v>25</v>
      </c>
      <c r="V30" s="11" t="n">
        <v>4</v>
      </c>
      <c r="W30" s="11" t="n">
        <v>28</v>
      </c>
      <c r="X30" s="11" t="n">
        <v>1.47</v>
      </c>
      <c r="Y30" s="11" t="n">
        <v>30.6</v>
      </c>
      <c r="Z30" s="11" t="n">
        <v>28.3</v>
      </c>
      <c r="AA30" s="11" t="n">
        <v>2.3</v>
      </c>
      <c r="AB30" s="11" t="n">
        <v>0.12</v>
      </c>
      <c r="AM30">
        <f>C28</f>
        <v/>
      </c>
      <c r="AN30">
        <f>IFERROR(VLOOKUP(RIGHT(B28,LEN(B28)-11),Helpers!$B$4:$C$36,2,0),"")</f>
        <v/>
      </c>
      <c r="AO30">
        <f>IF(IF(COUNTIF($AW$5:$AW$100,AW30)&gt;1,TRUE,FALSE),"T"&amp;AW30,AW30)</f>
        <v/>
      </c>
      <c r="AP30">
        <f>IF(IF(COUNTIF($AX$5:$AX$100,AX30)&gt;1,TRUE,FALSE),"T"&amp;AX30,AX30)</f>
        <v/>
      </c>
      <c r="AQ30">
        <f>IF(IF(COUNTIF($AY$5:$AY$100,AY30)&gt;1,TRUE,FALSE),"T"&amp;AY30,AY30)</f>
        <v/>
      </c>
      <c r="AR30">
        <f>IF(IF(COUNTIF($AZ$5:$AZ$100,AZ30)&gt;1,TRUE,FALSE),"T"&amp;AZ30,AZ30)</f>
        <v/>
      </c>
      <c r="AT30" s="27">
        <f>IFERROR(I28/C28,"")</f>
        <v/>
      </c>
      <c r="AW30">
        <f>RANK(G28,(G$3,G$8,G$13,G$18,G$23,G$28,G$33,G$38,G$43,G$48,G$53,G$58,G$63,G$68,G$73,G$78,G$83,G$88,G$93,G$98))</f>
        <v/>
      </c>
      <c r="AX30">
        <f>RANK(H28,(H$3,H$8,H$13,H$18,H$23,H$28,H$33,H$38,H$43,H$48,H$53,H$58,H$63,H$68,H$73,H$78,H$83,H$88,H$93,H$98),1)</f>
        <v/>
      </c>
      <c r="AY30">
        <f>RANK(I28,(I$3,I$8,I$13,I$18,I$23,I$28,I$33,I$38,I$43,I$48,I$53,I$58,I$63,I$68,I$73,I$78,I$83,I$88,I$93,I$98),0)</f>
        <v/>
      </c>
      <c r="AZ30">
        <f>RANK(AT30,(AT$5,AT$10,AT$15,AT$20,AT$25,AT$30,AT$35,AT$40,AT$45,AT$50,AT$55,AT$60,AT$65,AT$70,AT$75,AT$80,AT$85,AT$90,AT$95,AT$100),0)</f>
        <v/>
      </c>
    </row>
    <row r="31">
      <c r="A31" s="46" t="n">
        <v>5</v>
      </c>
      <c r="B31" s="1" t="inlineStr">
        <is>
          <t>Club Crest Newcastle Utd</t>
        </is>
      </c>
      <c r="C31" s="11" t="n">
        <v>19</v>
      </c>
      <c r="D31" s="11" t="n">
        <v>12</v>
      </c>
      <c r="E31" s="11" t="n">
        <v>2</v>
      </c>
      <c r="F31" s="11" t="n">
        <v>5</v>
      </c>
      <c r="G31" s="11" t="n">
        <v>40</v>
      </c>
      <c r="H31" s="11" t="n">
        <v>20</v>
      </c>
      <c r="I31" s="11" t="n">
        <v>20</v>
      </c>
      <c r="J31" s="11" t="n">
        <v>38</v>
      </c>
      <c r="K31" s="11" t="n">
        <v>2</v>
      </c>
      <c r="L31" s="11" t="n">
        <v>32.9</v>
      </c>
      <c r="M31" s="11" t="n">
        <v>22.5</v>
      </c>
      <c r="N31" s="11" t="n">
        <v>10.4</v>
      </c>
      <c r="O31" s="11" t="n">
        <v>0.55</v>
      </c>
      <c r="P31" s="11" t="n">
        <v>19</v>
      </c>
      <c r="Q31" s="11" t="n">
        <v>8</v>
      </c>
      <c r="R31" s="11" t="n">
        <v>4</v>
      </c>
      <c r="S31" s="11" t="n">
        <v>7</v>
      </c>
      <c r="T31" s="11" t="n">
        <v>28</v>
      </c>
      <c r="U31" s="11" t="n">
        <v>27</v>
      </c>
      <c r="V31" s="11" t="n">
        <v>1</v>
      </c>
      <c r="W31" s="11" t="n">
        <v>28</v>
      </c>
      <c r="X31" s="11" t="n">
        <v>1.47</v>
      </c>
      <c r="Y31" s="11" t="n">
        <v>30.8</v>
      </c>
      <c r="Z31" s="11" t="n">
        <v>23</v>
      </c>
      <c r="AA31" s="11" t="n">
        <v>7.8</v>
      </c>
      <c r="AB31" s="11" t="n">
        <v>0.41</v>
      </c>
      <c r="AN31">
        <f>IFERROR(VLOOKUP(RIGHT(B29,LEN(B29)-11),Helpers!$B$4:$C$36,2,0),"")</f>
        <v/>
      </c>
    </row>
    <row r="32">
      <c r="A32" s="46" t="n">
        <v>6</v>
      </c>
      <c r="B32" s="1" t="inlineStr">
        <is>
          <t>Club Crest Aston Villa</t>
        </is>
      </c>
      <c r="C32" s="11" t="n">
        <v>19</v>
      </c>
      <c r="D32" s="11" t="n">
        <v>11</v>
      </c>
      <c r="E32" s="11" t="n">
        <v>7</v>
      </c>
      <c r="F32" s="11" t="n">
        <v>1</v>
      </c>
      <c r="G32" s="11" t="n">
        <v>34</v>
      </c>
      <c r="H32" s="11" t="n">
        <v>20</v>
      </c>
      <c r="I32" s="11" t="n">
        <v>14</v>
      </c>
      <c r="J32" s="11" t="n">
        <v>40</v>
      </c>
      <c r="K32" s="11" t="n">
        <v>2.11</v>
      </c>
      <c r="L32" s="11" t="n">
        <v>33.5</v>
      </c>
      <c r="M32" s="11" t="n">
        <v>18.5</v>
      </c>
      <c r="N32" s="11" t="n">
        <v>15</v>
      </c>
      <c r="O32" s="11" t="n">
        <v>0.79</v>
      </c>
      <c r="P32" s="11" t="n">
        <v>19</v>
      </c>
      <c r="Q32" s="11" t="n">
        <v>8</v>
      </c>
      <c r="R32" s="11" t="n">
        <v>2</v>
      </c>
      <c r="S32" s="11" t="n">
        <v>9</v>
      </c>
      <c r="T32" s="11" t="n">
        <v>24</v>
      </c>
      <c r="U32" s="11" t="n">
        <v>31</v>
      </c>
      <c r="V32" s="11" t="n">
        <v>-7</v>
      </c>
      <c r="W32" s="11" t="n">
        <v>26</v>
      </c>
      <c r="X32" s="11" t="n">
        <v>1.37</v>
      </c>
      <c r="Y32" s="11" t="n">
        <v>22.6</v>
      </c>
      <c r="Z32" s="11" t="n">
        <v>31.6</v>
      </c>
      <c r="AA32" s="11" t="n">
        <v>-9.1</v>
      </c>
      <c r="AB32" s="11" t="n">
        <v>-0.48</v>
      </c>
      <c r="AN32">
        <f>IFERROR(VLOOKUP(RIGHT(B30,LEN(B30)-11),Helpers!$B$4:$C$36,2,0),"")</f>
        <v/>
      </c>
    </row>
    <row r="33" ht="17.1" customHeight="1" s="43">
      <c r="A33" s="46" t="n">
        <v>7</v>
      </c>
      <c r="B33" s="1" t="inlineStr">
        <is>
          <t>Club Crest Nott'ham Forest</t>
        </is>
      </c>
      <c r="C33" s="11" t="n">
        <v>19</v>
      </c>
      <c r="D33" s="11" t="n">
        <v>9</v>
      </c>
      <c r="E33" s="11" t="n">
        <v>5</v>
      </c>
      <c r="F33" s="11" t="n">
        <v>5</v>
      </c>
      <c r="G33" s="11" t="n">
        <v>26</v>
      </c>
      <c r="H33" s="11" t="n">
        <v>16</v>
      </c>
      <c r="I33" s="11" t="n">
        <v>10</v>
      </c>
      <c r="J33" s="11" t="n">
        <v>32</v>
      </c>
      <c r="K33" s="11" t="n">
        <v>1.68</v>
      </c>
      <c r="L33" s="11" t="n">
        <v>22.8</v>
      </c>
      <c r="M33" s="11" t="n">
        <v>19.8</v>
      </c>
      <c r="N33" s="11" t="n">
        <v>3</v>
      </c>
      <c r="O33" s="11" t="n">
        <v>0.16</v>
      </c>
      <c r="P33" s="11" t="n">
        <v>19</v>
      </c>
      <c r="Q33" s="11" t="n">
        <v>10</v>
      </c>
      <c r="R33" s="11" t="n">
        <v>3</v>
      </c>
      <c r="S33" s="11" t="n">
        <v>6</v>
      </c>
      <c r="T33" s="11" t="n">
        <v>32</v>
      </c>
      <c r="U33" s="11" t="n">
        <v>30</v>
      </c>
      <c r="V33" s="11" t="n">
        <v>2</v>
      </c>
      <c r="W33" s="11" t="n">
        <v>33</v>
      </c>
      <c r="X33" s="11" t="n">
        <v>1.74</v>
      </c>
      <c r="Y33" s="11" t="n">
        <v>22.6</v>
      </c>
      <c r="Z33" s="11" t="n">
        <v>29.1</v>
      </c>
      <c r="AA33" s="11" t="n">
        <v>-6.4</v>
      </c>
      <c r="AB33" s="11" t="n">
        <v>-0.34</v>
      </c>
      <c r="AL33">
        <f>AN35</f>
        <v/>
      </c>
      <c r="AN33">
        <f>IFERROR(VLOOKUP(RIGHT(B31,LEN(B31)-11),Helpers!$B$4:$C$36,2,0),"")</f>
        <v/>
      </c>
    </row>
    <row r="34">
      <c r="A34" s="46" t="n">
        <v>8</v>
      </c>
      <c r="B34" s="1" t="inlineStr">
        <is>
          <t>Club Crest Brighton</t>
        </is>
      </c>
      <c r="C34" s="11" t="n">
        <v>19</v>
      </c>
      <c r="D34" s="11" t="n">
        <v>8</v>
      </c>
      <c r="E34" s="11" t="n">
        <v>8</v>
      </c>
      <c r="F34" s="11" t="n">
        <v>3</v>
      </c>
      <c r="G34" s="11" t="n">
        <v>30</v>
      </c>
      <c r="H34" s="11" t="n">
        <v>26</v>
      </c>
      <c r="I34" s="11" t="n">
        <v>4</v>
      </c>
      <c r="J34" s="11" t="n">
        <v>32</v>
      </c>
      <c r="K34" s="11" t="n">
        <v>1.68</v>
      </c>
      <c r="L34" s="11" t="n">
        <v>30.5</v>
      </c>
      <c r="M34" s="11" t="n">
        <v>24.8</v>
      </c>
      <c r="N34" s="11" t="n">
        <v>5.7</v>
      </c>
      <c r="O34" s="11" t="n">
        <v>0.3</v>
      </c>
      <c r="P34" s="11" t="n">
        <v>19</v>
      </c>
      <c r="Q34" s="11" t="n">
        <v>8</v>
      </c>
      <c r="R34" s="11" t="n">
        <v>5</v>
      </c>
      <c r="S34" s="11" t="n">
        <v>6</v>
      </c>
      <c r="T34" s="11" t="n">
        <v>36</v>
      </c>
      <c r="U34" s="11" t="n">
        <v>33</v>
      </c>
      <c r="V34" s="11" t="n">
        <v>3</v>
      </c>
      <c r="W34" s="11" t="n">
        <v>29</v>
      </c>
      <c r="X34" s="11" t="n">
        <v>1.53</v>
      </c>
      <c r="Y34" s="11" t="n">
        <v>28.2</v>
      </c>
      <c r="Z34" s="11" t="n">
        <v>29.8</v>
      </c>
      <c r="AA34" s="11" t="n">
        <v>-1.6</v>
      </c>
      <c r="AB34" s="11" t="n">
        <v>-0.08</v>
      </c>
      <c r="AN34">
        <f>IFERROR(VLOOKUP(RIGHT(B32,LEN(B32)-11),Helpers!$B$4:$C$36,2,0),"")</f>
        <v/>
      </c>
    </row>
    <row r="35">
      <c r="A35" s="46" t="n">
        <v>9</v>
      </c>
      <c r="B35" s="1" t="inlineStr">
        <is>
          <t>Club Crest Bournemouth</t>
        </is>
      </c>
      <c r="C35" s="11" t="n">
        <v>19</v>
      </c>
      <c r="D35" s="11" t="n">
        <v>8</v>
      </c>
      <c r="E35" s="11" t="n">
        <v>4</v>
      </c>
      <c r="F35" s="11" t="n">
        <v>7</v>
      </c>
      <c r="G35" s="11" t="n">
        <v>23</v>
      </c>
      <c r="H35" s="11" t="n">
        <v>16</v>
      </c>
      <c r="I35" s="11" t="n">
        <v>7</v>
      </c>
      <c r="J35" s="11" t="n">
        <v>28</v>
      </c>
      <c r="K35" s="11" t="n">
        <v>1.47</v>
      </c>
      <c r="L35" s="11" t="n">
        <v>31.4</v>
      </c>
      <c r="M35" s="11" t="n">
        <v>22.3</v>
      </c>
      <c r="N35" s="11" t="n">
        <v>9.1</v>
      </c>
      <c r="O35" s="11" t="n">
        <v>0.48</v>
      </c>
      <c r="P35" s="11" t="n">
        <v>19</v>
      </c>
      <c r="Q35" s="11" t="n">
        <v>7</v>
      </c>
      <c r="R35" s="11" t="n">
        <v>7</v>
      </c>
      <c r="S35" s="11" t="n">
        <v>5</v>
      </c>
      <c r="T35" s="11" t="n">
        <v>35</v>
      </c>
      <c r="U35" s="11" t="n">
        <v>30</v>
      </c>
      <c r="V35" s="11" t="n">
        <v>5</v>
      </c>
      <c r="W35" s="11" t="n">
        <v>28</v>
      </c>
      <c r="X35" s="11" t="n">
        <v>1.47</v>
      </c>
      <c r="Y35" s="11" t="n">
        <v>32.6</v>
      </c>
      <c r="Z35" s="11" t="n">
        <v>26.2</v>
      </c>
      <c r="AA35" s="11" t="n">
        <v>6.4</v>
      </c>
      <c r="AB35" s="11" t="n">
        <v>0.34</v>
      </c>
      <c r="AM35">
        <f>C33</f>
        <v/>
      </c>
      <c r="AN35">
        <f>IFERROR(VLOOKUP(RIGHT(B33,LEN(B33)-11),Helpers!$B$4:$C$36,2,0),"")</f>
        <v/>
      </c>
      <c r="AO35">
        <f>IF(IF(COUNTIF($AW$5:$AW$100,AW35)&gt;1,TRUE,FALSE),"T"&amp;AW35,AW35)</f>
        <v/>
      </c>
      <c r="AP35">
        <f>IF(IF(COUNTIF($AX$5:$AX$100,AX35)&gt;1,TRUE,FALSE),"T"&amp;AX35,AX35)</f>
        <v/>
      </c>
      <c r="AQ35">
        <f>IF(IF(COUNTIF($AY$5:$AY$100,AY35)&gt;1,TRUE,FALSE),"T"&amp;AY35,AY35)</f>
        <v/>
      </c>
      <c r="AR35">
        <f>IF(IF(COUNTIF($AZ$5:$AZ$100,AZ35)&gt;1,TRUE,FALSE),"T"&amp;AZ35,AZ35)</f>
        <v/>
      </c>
      <c r="AT35" s="27">
        <f>IFERROR(I33/C33,"")</f>
        <v/>
      </c>
      <c r="AW35">
        <f>RANK(G33,(G$3,G$8,G$13,G$18,G$23,G$28,G$33,G$38,G$43,G$48,G$53,G$58,G$63,G$68,G$73,G$78,G$83,G$88,G$93,G$98))</f>
        <v/>
      </c>
      <c r="AX35">
        <f>RANK(H33,(H$3,H$8,H$13,H$18,H$23,H$28,H$33,H$38,H$43,H$48,H$53,H$58,H$63,H$68,H$73,H$78,H$83,H$88,H$93,H$98),1)</f>
        <v/>
      </c>
      <c r="AY35">
        <f>RANK(I33,(I$3,I$8,I$13,I$18,I$23,I$28,I$33,I$38,I$43,I$48,I$53,I$58,I$63,I$68,I$73,I$78,I$83,I$88,I$93,I$98),0)</f>
        <v/>
      </c>
      <c r="AZ35">
        <f>RANK(AT35,(AT$5,AT$10,AT$15,AT$20,AT$25,AT$30,AT$35,AT$40,AT$45,AT$50,AT$55,AT$60,AT$65,AT$70,AT$75,AT$80,AT$85,AT$90,AT$95,AT$100),0)</f>
        <v/>
      </c>
    </row>
    <row r="36">
      <c r="A36" s="46" t="n">
        <v>10</v>
      </c>
      <c r="B36" s="1" t="inlineStr">
        <is>
          <t>Club Crest Brentford</t>
        </is>
      </c>
      <c r="C36" s="11" t="n">
        <v>19</v>
      </c>
      <c r="D36" s="11" t="n">
        <v>9</v>
      </c>
      <c r="E36" s="11" t="n">
        <v>4</v>
      </c>
      <c r="F36" s="11" t="n">
        <v>6</v>
      </c>
      <c r="G36" s="11" t="n">
        <v>40</v>
      </c>
      <c r="H36" s="11" t="n">
        <v>35</v>
      </c>
      <c r="I36" s="11" t="n">
        <v>5</v>
      </c>
      <c r="J36" s="11" t="n">
        <v>31</v>
      </c>
      <c r="K36" s="11" t="n">
        <v>1.63</v>
      </c>
      <c r="L36" s="11" t="n">
        <v>35.1</v>
      </c>
      <c r="M36" s="11" t="n">
        <v>28.1</v>
      </c>
      <c r="N36" s="11" t="n">
        <v>7</v>
      </c>
      <c r="O36" s="11" t="n">
        <v>0.37</v>
      </c>
      <c r="P36" s="11" t="n">
        <v>19</v>
      </c>
      <c r="Q36" s="11" t="n">
        <v>7</v>
      </c>
      <c r="R36" s="11" t="n">
        <v>4</v>
      </c>
      <c r="S36" s="11" t="n">
        <v>8</v>
      </c>
      <c r="T36" s="11" t="n">
        <v>26</v>
      </c>
      <c r="U36" s="11" t="n">
        <v>22</v>
      </c>
      <c r="V36" s="11" t="n">
        <v>4</v>
      </c>
      <c r="W36" s="11" t="n">
        <v>25</v>
      </c>
      <c r="X36" s="11" t="n">
        <v>1.32</v>
      </c>
      <c r="Y36" s="11" t="n">
        <v>23.9</v>
      </c>
      <c r="Z36" s="11" t="n">
        <v>27.3</v>
      </c>
      <c r="AA36" s="11" t="n">
        <v>-3.4</v>
      </c>
      <c r="AB36" s="11" t="n">
        <v>-0.18</v>
      </c>
      <c r="AN36">
        <f>IFERROR(VLOOKUP(RIGHT(B34,LEN(B34)-11),Helpers!$B$4:$C$36,2,0),"")</f>
        <v/>
      </c>
    </row>
    <row r="37">
      <c r="A37" s="46" t="n">
        <v>11</v>
      </c>
      <c r="B37" s="1" t="inlineStr">
        <is>
          <t>Club Crest Fulham</t>
        </is>
      </c>
      <c r="C37" s="11" t="n">
        <v>19</v>
      </c>
      <c r="D37" s="11" t="n">
        <v>7</v>
      </c>
      <c r="E37" s="11" t="n">
        <v>5</v>
      </c>
      <c r="F37" s="11" t="n">
        <v>7</v>
      </c>
      <c r="G37" s="11" t="n">
        <v>27</v>
      </c>
      <c r="H37" s="11" t="n">
        <v>30</v>
      </c>
      <c r="I37" s="11" t="n">
        <v>-3</v>
      </c>
      <c r="J37" s="11" t="n">
        <v>26</v>
      </c>
      <c r="K37" s="11" t="n">
        <v>1.37</v>
      </c>
      <c r="L37" s="11" t="n">
        <v>22.1</v>
      </c>
      <c r="M37" s="11" t="n">
        <v>22.8</v>
      </c>
      <c r="N37" s="11" t="n">
        <v>-0.8</v>
      </c>
      <c r="O37" s="11" t="n">
        <v>-0.04</v>
      </c>
      <c r="P37" s="11" t="n">
        <v>19</v>
      </c>
      <c r="Q37" s="11" t="n">
        <v>8</v>
      </c>
      <c r="R37" s="11" t="n">
        <v>4</v>
      </c>
      <c r="S37" s="11" t="n">
        <v>7</v>
      </c>
      <c r="T37" s="11" t="n">
        <v>27</v>
      </c>
      <c r="U37" s="11" t="n">
        <v>24</v>
      </c>
      <c r="V37" s="11" t="n">
        <v>3</v>
      </c>
      <c r="W37" s="11" t="n">
        <v>28</v>
      </c>
      <c r="X37" s="11" t="n">
        <v>1.47</v>
      </c>
      <c r="Y37" s="11" t="n">
        <v>27</v>
      </c>
      <c r="Z37" s="11" t="n">
        <v>24.4</v>
      </c>
      <c r="AA37" s="11" t="n">
        <v>2.6</v>
      </c>
      <c r="AB37" s="11" t="n">
        <v>0.14</v>
      </c>
      <c r="AN37">
        <f>IFERROR(VLOOKUP(RIGHT(B35,LEN(B35)-11),Helpers!$B$4:$C$36,2,0),"")</f>
        <v/>
      </c>
    </row>
    <row r="38" ht="17.1" customHeight="1" s="43">
      <c r="A38" s="46" t="n">
        <v>12</v>
      </c>
      <c r="B38" s="1" t="inlineStr">
        <is>
          <t>Club Crest Crystal Palace</t>
        </is>
      </c>
      <c r="C38" s="11" t="n">
        <v>19</v>
      </c>
      <c r="D38" s="11" t="n">
        <v>6</v>
      </c>
      <c r="E38" s="11" t="n">
        <v>7</v>
      </c>
      <c r="F38" s="11" t="n">
        <v>6</v>
      </c>
      <c r="G38" s="11" t="n">
        <v>24</v>
      </c>
      <c r="H38" s="11" t="n">
        <v>26</v>
      </c>
      <c r="I38" s="11" t="n">
        <v>-2</v>
      </c>
      <c r="J38" s="11" t="n">
        <v>25</v>
      </c>
      <c r="K38" s="11" t="n">
        <v>1.32</v>
      </c>
      <c r="L38" s="11" t="n">
        <v>30.5</v>
      </c>
      <c r="M38" s="11" t="n">
        <v>22</v>
      </c>
      <c r="N38" s="11" t="n">
        <v>8.5</v>
      </c>
      <c r="O38" s="11" t="n">
        <v>0.45</v>
      </c>
      <c r="P38" s="11" t="n">
        <v>19</v>
      </c>
      <c r="Q38" s="11" t="n">
        <v>7</v>
      </c>
      <c r="R38" s="11" t="n">
        <v>7</v>
      </c>
      <c r="S38" s="11" t="n">
        <v>5</v>
      </c>
      <c r="T38" s="11" t="n">
        <v>27</v>
      </c>
      <c r="U38" s="11" t="n">
        <v>25</v>
      </c>
      <c r="V38" s="11" t="n">
        <v>2</v>
      </c>
      <c r="W38" s="11" t="n">
        <v>28</v>
      </c>
      <c r="X38" s="11" t="n">
        <v>1.47</v>
      </c>
      <c r="Y38" s="11" t="n">
        <v>29.9</v>
      </c>
      <c r="Z38" s="11" t="n">
        <v>27.1</v>
      </c>
      <c r="AA38" s="11" t="n">
        <v>2.8</v>
      </c>
      <c r="AB38" s="11" t="n">
        <v>0.15</v>
      </c>
      <c r="AL38">
        <f>AN40</f>
        <v/>
      </c>
      <c r="AN38">
        <f>IFERROR(VLOOKUP(RIGHT(B36,LEN(B36)-11),Helpers!$B$4:$C$36,2,0),"")</f>
        <v/>
      </c>
    </row>
    <row r="39">
      <c r="A39" s="46" t="n">
        <v>13</v>
      </c>
      <c r="B39" s="1" t="inlineStr">
        <is>
          <t>Club Crest Everton</t>
        </is>
      </c>
      <c r="C39" s="11" t="n">
        <v>19</v>
      </c>
      <c r="D39" s="11" t="n">
        <v>5</v>
      </c>
      <c r="E39" s="11" t="n">
        <v>9</v>
      </c>
      <c r="F39" s="11" t="n">
        <v>5</v>
      </c>
      <c r="G39" s="11" t="n">
        <v>26</v>
      </c>
      <c r="H39" s="11" t="n">
        <v>23</v>
      </c>
      <c r="I39" s="11" t="n">
        <v>3</v>
      </c>
      <c r="J39" s="11" t="n">
        <v>24</v>
      </c>
      <c r="K39" s="11" t="n">
        <v>1.26</v>
      </c>
      <c r="L39" s="11" t="n">
        <v>22.9</v>
      </c>
      <c r="M39" s="11" t="n">
        <v>22.8</v>
      </c>
      <c r="N39" s="11" t="n">
        <v>0.1</v>
      </c>
      <c r="O39" s="11" t="n">
        <v>0</v>
      </c>
      <c r="P39" s="11" t="n">
        <v>19</v>
      </c>
      <c r="Q39" s="11" t="n">
        <v>6</v>
      </c>
      <c r="R39" s="11" t="n">
        <v>6</v>
      </c>
      <c r="S39" s="11" t="n">
        <v>7</v>
      </c>
      <c r="T39" s="11" t="n">
        <v>16</v>
      </c>
      <c r="U39" s="11" t="n">
        <v>21</v>
      </c>
      <c r="V39" s="11" t="n">
        <v>-5</v>
      </c>
      <c r="W39" s="11" t="n">
        <v>24</v>
      </c>
      <c r="X39" s="11" t="n">
        <v>1.26</v>
      </c>
      <c r="Y39" s="11" t="n">
        <v>18.8</v>
      </c>
      <c r="Z39" s="11" t="n">
        <v>23.4</v>
      </c>
      <c r="AA39" s="11" t="n">
        <v>-4.5</v>
      </c>
      <c r="AB39" s="11" t="n">
        <v>-0.24</v>
      </c>
      <c r="AN39">
        <f>IFERROR(VLOOKUP(RIGHT(B37,LEN(B37)-11),Helpers!$B$4:$C$36,2,0),"")</f>
        <v/>
      </c>
    </row>
    <row r="40">
      <c r="A40" s="46" t="n">
        <v>14</v>
      </c>
      <c r="B40" s="1" t="inlineStr">
        <is>
          <t>Club Crest West Ham</t>
        </is>
      </c>
      <c r="C40" s="11" t="n">
        <v>19</v>
      </c>
      <c r="D40" s="11" t="n">
        <v>5</v>
      </c>
      <c r="E40" s="11" t="n">
        <v>5</v>
      </c>
      <c r="F40" s="11" t="n">
        <v>9</v>
      </c>
      <c r="G40" s="11" t="n">
        <v>23</v>
      </c>
      <c r="H40" s="11" t="n">
        <v>34</v>
      </c>
      <c r="I40" s="11" t="n">
        <v>-11</v>
      </c>
      <c r="J40" s="11" t="n">
        <v>20</v>
      </c>
      <c r="K40" s="11" t="n">
        <v>1.05</v>
      </c>
      <c r="L40" s="11" t="n">
        <v>22.8</v>
      </c>
      <c r="M40" s="11" t="n">
        <v>32.2</v>
      </c>
      <c r="N40" s="11" t="n">
        <v>-9.4</v>
      </c>
      <c r="O40" s="11" t="n">
        <v>-0.49</v>
      </c>
      <c r="P40" s="11" t="n">
        <v>19</v>
      </c>
      <c r="Q40" s="11" t="n">
        <v>6</v>
      </c>
      <c r="R40" s="11" t="n">
        <v>5</v>
      </c>
      <c r="S40" s="11" t="n">
        <v>8</v>
      </c>
      <c r="T40" s="11" t="n">
        <v>23</v>
      </c>
      <c r="U40" s="11" t="n">
        <v>28</v>
      </c>
      <c r="V40" s="11" t="n">
        <v>-5</v>
      </c>
      <c r="W40" s="11" t="n">
        <v>23</v>
      </c>
      <c r="X40" s="11" t="n">
        <v>1.21</v>
      </c>
      <c r="Y40" s="11" t="n">
        <v>24.2</v>
      </c>
      <c r="Z40" s="11" t="n">
        <v>27.5</v>
      </c>
      <c r="AA40" s="11" t="n">
        <v>-3.3</v>
      </c>
      <c r="AB40" s="11" t="n">
        <v>-0.17</v>
      </c>
      <c r="AM40">
        <f>C38</f>
        <v/>
      </c>
      <c r="AN40">
        <f>IFERROR(VLOOKUP(RIGHT(B38,LEN(B38)-11),Helpers!$B$4:$C$36,2,0),"")</f>
        <v/>
      </c>
      <c r="AO40">
        <f>IF(IF(COUNTIF($AW$5:$AW$100,AW40)&gt;1,TRUE,FALSE),"T"&amp;AW40,AW40)</f>
        <v/>
      </c>
      <c r="AP40">
        <f>IF(IF(COUNTIF($AX$5:$AX$100,AX40)&gt;1,TRUE,FALSE),"T"&amp;AX40,AX40)</f>
        <v/>
      </c>
      <c r="AQ40">
        <f>IF(IF(COUNTIF($AY$5:$AY$100,AY40)&gt;1,TRUE,FALSE),"T"&amp;AY40,AY40)</f>
        <v/>
      </c>
      <c r="AR40">
        <f>IF(IF(COUNTIF($AZ$5:$AZ$100,AZ40)&gt;1,TRUE,FALSE),"T"&amp;AZ40,AZ40)</f>
        <v/>
      </c>
      <c r="AT40" s="27">
        <f>IFERROR(I38/C38,"")</f>
        <v/>
      </c>
      <c r="AW40">
        <f>RANK(G38,(G$3,G$8,G$13,G$18,G$23,G$28,G$33,G$38,G$43,G$48,G$53,G$58,G$63,G$68,G$73,G$78,G$83,G$88,G$93,G$98))</f>
        <v/>
      </c>
      <c r="AX40">
        <f>RANK(H38,(H$3,H$8,H$13,H$18,H$23,H$28,H$33,H$38,H$43,H$48,H$53,H$58,H$63,H$68,H$73,H$78,H$83,H$88,H$93,H$98),1)</f>
        <v/>
      </c>
      <c r="AY40">
        <f>RANK(I38,(I$3,I$8,I$13,I$18,I$23,I$28,I$33,I$38,I$43,I$48,I$53,I$58,I$63,I$68,I$73,I$78,I$83,I$88,I$93,I$98),0)</f>
        <v/>
      </c>
      <c r="AZ40">
        <f>RANK(AT40,(AT$5,AT$10,AT$15,AT$20,AT$25,AT$30,AT$35,AT$40,AT$45,AT$50,AT$55,AT$60,AT$65,AT$70,AT$75,AT$80,AT$85,AT$90,AT$95,AT$100),0)</f>
        <v/>
      </c>
    </row>
    <row r="41">
      <c r="A41" s="46" t="n">
        <v>15</v>
      </c>
      <c r="B41" s="1" t="inlineStr">
        <is>
          <t>Club Crest Manchester Utd</t>
        </is>
      </c>
      <c r="C41" s="11" t="n">
        <v>19</v>
      </c>
      <c r="D41" s="11" t="n">
        <v>7</v>
      </c>
      <c r="E41" s="11" t="n">
        <v>3</v>
      </c>
      <c r="F41" s="11" t="n">
        <v>9</v>
      </c>
      <c r="G41" s="11" t="n">
        <v>23</v>
      </c>
      <c r="H41" s="11" t="n">
        <v>28</v>
      </c>
      <c r="I41" s="11" t="n">
        <v>-5</v>
      </c>
      <c r="J41" s="11" t="n">
        <v>24</v>
      </c>
      <c r="K41" s="11" t="n">
        <v>1.26</v>
      </c>
      <c r="L41" s="11" t="n">
        <v>30</v>
      </c>
      <c r="M41" s="11" t="n">
        <v>26</v>
      </c>
      <c r="N41" s="11" t="n">
        <v>4</v>
      </c>
      <c r="O41" s="11" t="n">
        <v>0.21</v>
      </c>
      <c r="P41" s="11" t="n">
        <v>19</v>
      </c>
      <c r="Q41" s="11" t="n">
        <v>4</v>
      </c>
      <c r="R41" s="11" t="n">
        <v>6</v>
      </c>
      <c r="S41" s="11" t="n">
        <v>9</v>
      </c>
      <c r="T41" s="11" t="n">
        <v>21</v>
      </c>
      <c r="U41" s="11" t="n">
        <v>26</v>
      </c>
      <c r="V41" s="11" t="n">
        <v>-5</v>
      </c>
      <c r="W41" s="11" t="n">
        <v>18</v>
      </c>
      <c r="X41" s="11" t="n">
        <v>0.95</v>
      </c>
      <c r="Y41" s="11" t="n">
        <v>22.6</v>
      </c>
      <c r="Z41" s="11" t="n">
        <v>27.9</v>
      </c>
      <c r="AA41" s="11" t="n">
        <v>-5.2</v>
      </c>
      <c r="AB41" s="11" t="n">
        <v>-0.28</v>
      </c>
      <c r="AN41">
        <f>IFERROR(VLOOKUP(RIGHT(B39,LEN(B39)-11),Helpers!$B$4:$C$36,2,0),"")</f>
        <v/>
      </c>
    </row>
    <row r="42">
      <c r="A42" s="46" t="n">
        <v>16</v>
      </c>
      <c r="B42" s="1" t="inlineStr">
        <is>
          <t>Club Crest Wolves</t>
        </is>
      </c>
      <c r="C42" s="11" t="n">
        <v>19</v>
      </c>
      <c r="D42" s="11" t="n">
        <v>6</v>
      </c>
      <c r="E42" s="11" t="n">
        <v>3</v>
      </c>
      <c r="F42" s="11" t="n">
        <v>10</v>
      </c>
      <c r="G42" s="11" t="n">
        <v>27</v>
      </c>
      <c r="H42" s="11" t="n">
        <v>32</v>
      </c>
      <c r="I42" s="11" t="n">
        <v>-5</v>
      </c>
      <c r="J42" s="11" t="n">
        <v>21</v>
      </c>
      <c r="K42" s="11" t="n">
        <v>1.11</v>
      </c>
      <c r="L42" s="11" t="n">
        <v>23.3</v>
      </c>
      <c r="M42" s="11" t="n">
        <v>29.1</v>
      </c>
      <c r="N42" s="11" t="n">
        <v>-5.7</v>
      </c>
      <c r="O42" s="11" t="n">
        <v>-0.3</v>
      </c>
      <c r="P42" s="11" t="n">
        <v>19</v>
      </c>
      <c r="Q42" s="11" t="n">
        <v>6</v>
      </c>
      <c r="R42" s="11" t="n">
        <v>3</v>
      </c>
      <c r="S42" s="11" t="n">
        <v>10</v>
      </c>
      <c r="T42" s="11" t="n">
        <v>27</v>
      </c>
      <c r="U42" s="11" t="n">
        <v>37</v>
      </c>
      <c r="V42" s="11" t="n">
        <v>-10</v>
      </c>
      <c r="W42" s="11" t="n">
        <v>21</v>
      </c>
      <c r="X42" s="11" t="n">
        <v>1.11</v>
      </c>
      <c r="Y42" s="11" t="n">
        <v>20.3</v>
      </c>
      <c r="Z42" s="11" t="n">
        <v>29.1</v>
      </c>
      <c r="AA42" s="11" t="n">
        <v>-8.699999999999999</v>
      </c>
      <c r="AB42" s="11" t="n">
        <v>-0.46</v>
      </c>
      <c r="AN42">
        <f>IFERROR(VLOOKUP(RIGHT(B40,LEN(B40)-11),Helpers!$B$4:$C$36,2,0),"")</f>
        <v/>
      </c>
    </row>
    <row r="43" ht="17.1" customHeight="1" s="43">
      <c r="A43" s="46" t="n">
        <v>17</v>
      </c>
      <c r="B43" s="1" t="inlineStr">
        <is>
          <t>Club Crest Tottenham</t>
        </is>
      </c>
      <c r="C43" s="11" t="n">
        <v>19</v>
      </c>
      <c r="D43" s="11" t="n">
        <v>6</v>
      </c>
      <c r="E43" s="11" t="n">
        <v>3</v>
      </c>
      <c r="F43" s="11" t="n">
        <v>10</v>
      </c>
      <c r="G43" s="11" t="n">
        <v>35</v>
      </c>
      <c r="H43" s="11" t="n">
        <v>35</v>
      </c>
      <c r="I43" s="11" t="n">
        <v>0</v>
      </c>
      <c r="J43" s="11" t="n">
        <v>21</v>
      </c>
      <c r="K43" s="11" t="n">
        <v>1.11</v>
      </c>
      <c r="L43" s="11" t="n">
        <v>33.5</v>
      </c>
      <c r="M43" s="11" t="n">
        <v>34.1</v>
      </c>
      <c r="N43" s="11" t="n">
        <v>-0.6</v>
      </c>
      <c r="O43" s="11" t="n">
        <v>-0.03</v>
      </c>
      <c r="P43" s="11" t="n">
        <v>19</v>
      </c>
      <c r="Q43" s="11" t="n">
        <v>5</v>
      </c>
      <c r="R43" s="11" t="n">
        <v>2</v>
      </c>
      <c r="S43" s="11" t="n">
        <v>12</v>
      </c>
      <c r="T43" s="11" t="n">
        <v>29</v>
      </c>
      <c r="U43" s="11" t="n">
        <v>30</v>
      </c>
      <c r="V43" s="11" t="n">
        <v>-1</v>
      </c>
      <c r="W43" s="11" t="n">
        <v>17</v>
      </c>
      <c r="X43" s="11" t="n">
        <v>0.89</v>
      </c>
      <c r="Y43" s="11" t="n">
        <v>25.4</v>
      </c>
      <c r="Z43" s="11" t="n">
        <v>29.2</v>
      </c>
      <c r="AA43" s="11" t="n">
        <v>-3.9</v>
      </c>
      <c r="AB43" s="11" t="n">
        <v>-0.2</v>
      </c>
      <c r="AL43">
        <f>AN45</f>
        <v/>
      </c>
      <c r="AN43">
        <f>IFERROR(VLOOKUP(RIGHT(B41,LEN(B41)-11),Helpers!$B$4:$C$36,2,0),"")</f>
        <v/>
      </c>
    </row>
    <row r="44">
      <c r="A44" s="46" t="n">
        <v>18</v>
      </c>
      <c r="B44" s="1" t="inlineStr">
        <is>
          <t>Club Crest Leicester City</t>
        </is>
      </c>
      <c r="C44" s="11" t="n">
        <v>19</v>
      </c>
      <c r="D44" s="11" t="n">
        <v>4</v>
      </c>
      <c r="E44" s="11" t="n">
        <v>3</v>
      </c>
      <c r="F44" s="11" t="n">
        <v>12</v>
      </c>
      <c r="G44" s="11" t="n">
        <v>15</v>
      </c>
      <c r="H44" s="11" t="n">
        <v>34</v>
      </c>
      <c r="I44" s="11" t="n">
        <v>-19</v>
      </c>
      <c r="J44" s="11" t="n">
        <v>15</v>
      </c>
      <c r="K44" s="11" t="n">
        <v>0.79</v>
      </c>
      <c r="L44" s="11" t="n">
        <v>16.9</v>
      </c>
      <c r="M44" s="11" t="n">
        <v>32.4</v>
      </c>
      <c r="N44" s="11" t="n">
        <v>-15.5</v>
      </c>
      <c r="O44" s="11" t="n">
        <v>-0.82</v>
      </c>
      <c r="P44" s="11" t="n">
        <v>19</v>
      </c>
      <c r="Q44" s="11" t="n">
        <v>2</v>
      </c>
      <c r="R44" s="11" t="n">
        <v>4</v>
      </c>
      <c r="S44" s="11" t="n">
        <v>13</v>
      </c>
      <c r="T44" s="11" t="n">
        <v>18</v>
      </c>
      <c r="U44" s="11" t="n">
        <v>46</v>
      </c>
      <c r="V44" s="11" t="n">
        <v>-28</v>
      </c>
      <c r="W44" s="11" t="n">
        <v>10</v>
      </c>
      <c r="X44" s="11" t="n">
        <v>0.53</v>
      </c>
      <c r="Y44" s="11" t="n">
        <v>15.8</v>
      </c>
      <c r="Z44" s="11" t="n">
        <v>39.5</v>
      </c>
      <c r="AA44" s="11" t="n">
        <v>-23.8</v>
      </c>
      <c r="AB44" s="11" t="n">
        <v>-1.25</v>
      </c>
      <c r="AN44">
        <f>IFERROR(VLOOKUP(RIGHT(B42,LEN(B42)-11),Helpers!$B$4:$C$36,2,0),"")</f>
        <v/>
      </c>
    </row>
    <row r="45" ht="18" customHeight="1" s="43">
      <c r="A45" s="46" t="n">
        <v>19</v>
      </c>
      <c r="B45" s="1" t="inlineStr">
        <is>
          <t>Club Crest Ipswich Town</t>
        </is>
      </c>
      <c r="C45" s="11" t="n">
        <v>19</v>
      </c>
      <c r="D45" s="11" t="n">
        <v>1</v>
      </c>
      <c r="E45" s="11" t="n">
        <v>4</v>
      </c>
      <c r="F45" s="11" t="n">
        <v>14</v>
      </c>
      <c r="G45" s="11" t="n">
        <v>14</v>
      </c>
      <c r="H45" s="11" t="n">
        <v>44</v>
      </c>
      <c r="I45" s="11" t="n">
        <v>-30</v>
      </c>
      <c r="J45" s="11" t="n">
        <v>7</v>
      </c>
      <c r="K45" s="11" t="n">
        <v>0.37</v>
      </c>
      <c r="L45" s="11" t="n">
        <v>16.8</v>
      </c>
      <c r="M45" s="11" t="n">
        <v>33</v>
      </c>
      <c r="N45" s="11" t="n">
        <v>-16.2</v>
      </c>
      <c r="O45" s="11" t="n">
        <v>-0.85</v>
      </c>
      <c r="P45" s="11" t="n">
        <v>19</v>
      </c>
      <c r="Q45" s="11" t="n">
        <v>3</v>
      </c>
      <c r="R45" s="11" t="n">
        <v>6</v>
      </c>
      <c r="S45" s="11" t="n">
        <v>10</v>
      </c>
      <c r="T45" s="11" t="n">
        <v>22</v>
      </c>
      <c r="U45" s="11" t="n">
        <v>38</v>
      </c>
      <c r="V45" s="11" t="n">
        <v>-16</v>
      </c>
      <c r="W45" s="11" t="n">
        <v>15</v>
      </c>
      <c r="X45" s="11" t="n">
        <v>0.79</v>
      </c>
      <c r="Y45" s="11" t="n">
        <v>17.5</v>
      </c>
      <c r="Z45" s="11" t="n">
        <v>39.7</v>
      </c>
      <c r="AA45" s="11" t="n">
        <v>-22.1</v>
      </c>
      <c r="AB45" s="11" t="n">
        <v>-1.17</v>
      </c>
      <c r="AM45">
        <f>C43</f>
        <v/>
      </c>
      <c r="AN45">
        <f>IFERROR(VLOOKUP(RIGHT(B43,LEN(B43)-11),Helpers!$B$4:$C$36,2,0),"")</f>
        <v/>
      </c>
      <c r="AO45">
        <f>IF(IF(COUNTIF($AW$5:$AW$100,AW45)&gt;1,TRUE,FALSE),"T"&amp;AW45,AW45)</f>
        <v/>
      </c>
      <c r="AP45">
        <f>IF(IF(COUNTIF($AX$5:$AX$100,AX45)&gt;1,TRUE,FALSE),"T"&amp;AX45,AX45)</f>
        <v/>
      </c>
      <c r="AQ45">
        <f>IF(IF(COUNTIF($AY$5:$AY$100,AY45)&gt;1,TRUE,FALSE),"T"&amp;AY45,AY45)</f>
        <v/>
      </c>
      <c r="AR45">
        <f>IF(IF(COUNTIF($AZ$5:$AZ$100,AZ45)&gt;1,TRUE,FALSE),"T"&amp;AZ45,AZ45)</f>
        <v/>
      </c>
      <c r="AT45" s="27">
        <f>IFERROR(I43/C43,"")</f>
        <v/>
      </c>
      <c r="AW45">
        <f>RANK(G43,(G$3,G$8,G$13,G$18,G$23,G$28,G$33,G$38,G$43,G$48,G$53,G$58,G$63,G$68,G$73,G$78,G$83,G$88,G$93,G$98))</f>
        <v/>
      </c>
      <c r="AX45">
        <f>RANK(H43,(H$3,H$8,H$13,H$18,H$23,H$28,H$33,H$38,H$43,H$48,H$53,H$58,H$63,H$68,H$73,H$78,H$83,H$88,H$93,H$98),1)</f>
        <v/>
      </c>
      <c r="AY45">
        <f>RANK(I43,(I$3,I$8,I$13,I$18,I$23,I$28,I$33,I$38,I$43,I$48,I$53,I$58,I$63,I$68,I$73,I$78,I$83,I$88,I$93,I$98),0)</f>
        <v/>
      </c>
      <c r="AZ45">
        <f>RANK(AT45,(AT$5,AT$10,AT$15,AT$20,AT$25,AT$30,AT$35,AT$40,AT$45,AT$50,AT$55,AT$60,AT$65,AT$70,AT$75,AT$80,AT$85,AT$90,AT$95,AT$100),0)</f>
        <v/>
      </c>
    </row>
    <row r="46" ht="17.1" customHeight="1" s="43">
      <c r="A46" s="46" t="n">
        <v>20</v>
      </c>
      <c r="B46" s="1" t="inlineStr">
        <is>
          <t>Club Crest Southampton</t>
        </is>
      </c>
      <c r="C46" s="11" t="n">
        <v>19</v>
      </c>
      <c r="D46" s="11" t="n">
        <v>1</v>
      </c>
      <c r="E46" s="11" t="n">
        <v>3</v>
      </c>
      <c r="F46" s="11" t="n">
        <v>15</v>
      </c>
      <c r="G46" s="11" t="n">
        <v>13</v>
      </c>
      <c r="H46" s="11" t="n">
        <v>47</v>
      </c>
      <c r="I46" s="11" t="n">
        <v>-34</v>
      </c>
      <c r="J46" s="11" t="n">
        <v>6</v>
      </c>
      <c r="K46" s="11" t="n">
        <v>0.32</v>
      </c>
      <c r="L46" s="11" t="n">
        <v>17.2</v>
      </c>
      <c r="M46" s="11" t="n">
        <v>46.3</v>
      </c>
      <c r="N46" s="11" t="n">
        <v>-29.1</v>
      </c>
      <c r="O46" s="11" t="n">
        <v>-1.53</v>
      </c>
      <c r="P46" s="11" t="n">
        <v>19</v>
      </c>
      <c r="Q46" s="11" t="n">
        <v>1</v>
      </c>
      <c r="R46" s="11" t="n">
        <v>3</v>
      </c>
      <c r="S46" s="11" t="n">
        <v>15</v>
      </c>
      <c r="T46" s="11" t="n">
        <v>13</v>
      </c>
      <c r="U46" s="11" t="n">
        <v>39</v>
      </c>
      <c r="V46" s="11" t="n">
        <v>-26</v>
      </c>
      <c r="W46" s="11" t="n">
        <v>6</v>
      </c>
      <c r="X46" s="11" t="n">
        <v>0.32</v>
      </c>
      <c r="Y46" s="11" t="n">
        <v>15.4</v>
      </c>
      <c r="Z46" s="11" t="n">
        <v>38.5</v>
      </c>
      <c r="AA46" s="11" t="n">
        <v>-23.1</v>
      </c>
      <c r="AB46" s="11" t="n">
        <v>-1.21</v>
      </c>
      <c r="AN46">
        <f>IFERROR(VLOOKUP(RIGHT(B44,LEN(B44)-11),Helpers!$B$4:$C$36,2,0),"")</f>
        <v/>
      </c>
    </row>
    <row r="47">
      <c r="AN47">
        <f>IFERROR(VLOOKUP(RIGHT(B45,LEN(B45)-11),Helpers!$B$4:$C$36,2,0),"")</f>
        <v/>
      </c>
    </row>
    <row r="48" ht="17.1" customHeight="1" s="43">
      <c r="A48" s="45" t="inlineStr">
        <is>
          <t>Squad Standard Stats 2024-2025 Premier League Table</t>
        </is>
      </c>
      <c r="AL48">
        <f>AN50</f>
        <v/>
      </c>
      <c r="AN48">
        <f>IFERROR(VLOOKUP(RIGHT(B46,LEN(B46)-11),Helpers!$B$4:$C$36,2,0),"")</f>
        <v/>
      </c>
    </row>
    <row r="49" ht="17.1" customHeight="1" s="43">
      <c r="A49" s="44" t="n"/>
      <c r="E49" s="44" t="inlineStr">
        <is>
          <t>Playing Time</t>
        </is>
      </c>
      <c r="I49" s="44" t="inlineStr">
        <is>
          <t>Performance</t>
        </is>
      </c>
      <c r="Q49" s="44" t="inlineStr">
        <is>
          <t>Expected</t>
        </is>
      </c>
      <c r="U49" s="44" t="inlineStr">
        <is>
          <t>Progression</t>
        </is>
      </c>
      <c r="W49" s="44" t="inlineStr">
        <is>
          <t>Per 90 Minutes</t>
        </is>
      </c>
      <c r="AN49">
        <f>IFERROR(VLOOKUP(RIGHT(B47,LEN(B47)-11),Helpers!$B$4:$C$36,2,0),"")</f>
        <v/>
      </c>
    </row>
    <row r="50">
      <c r="A50" s="44" t="inlineStr">
        <is>
          <t>Squad</t>
        </is>
      </c>
      <c r="B50" s="44" t="inlineStr">
        <is>
          <t># Pl</t>
        </is>
      </c>
      <c r="C50" s="44" t="inlineStr">
        <is>
          <t>Age</t>
        </is>
      </c>
      <c r="D50" s="44" t="inlineStr">
        <is>
          <t>Poss</t>
        </is>
      </c>
      <c r="E50" s="44" t="inlineStr">
        <is>
          <t>MP</t>
        </is>
      </c>
      <c r="F50" s="44" t="inlineStr">
        <is>
          <t>Starts</t>
        </is>
      </c>
      <c r="G50" s="44" t="inlineStr">
        <is>
          <t>Min</t>
        </is>
      </c>
      <c r="H50" s="44" t="inlineStr">
        <is>
          <t>90s</t>
        </is>
      </c>
      <c r="I50" s="44" t="inlineStr">
        <is>
          <t>Gls</t>
        </is>
      </c>
      <c r="J50" s="44" t="inlineStr">
        <is>
          <t>Ast</t>
        </is>
      </c>
      <c r="K50" s="44" t="inlineStr">
        <is>
          <t>G+A</t>
        </is>
      </c>
      <c r="L50" s="44" t="inlineStr">
        <is>
          <t>G-PK</t>
        </is>
      </c>
      <c r="M50" s="44" t="inlineStr">
        <is>
          <t>PK</t>
        </is>
      </c>
      <c r="N50" s="44" t="inlineStr">
        <is>
          <t>PKatt</t>
        </is>
      </c>
      <c r="O50" s="44" t="inlineStr">
        <is>
          <t>CrdY</t>
        </is>
      </c>
      <c r="P50" s="44" t="inlineStr">
        <is>
          <t>CrdR</t>
        </is>
      </c>
      <c r="Q50" s="44" t="inlineStr">
        <is>
          <t>xG</t>
        </is>
      </c>
      <c r="R50" s="44" t="inlineStr">
        <is>
          <t>npxG</t>
        </is>
      </c>
      <c r="S50" s="44" t="inlineStr">
        <is>
          <t>xAG</t>
        </is>
      </c>
      <c r="T50" s="44" t="inlineStr">
        <is>
          <t>npxG+xAG</t>
        </is>
      </c>
      <c r="U50" s="44" t="inlineStr">
        <is>
          <t>PrgC</t>
        </is>
      </c>
      <c r="V50" s="44" t="inlineStr">
        <is>
          <t>PrgP</t>
        </is>
      </c>
      <c r="W50" s="44" t="inlineStr">
        <is>
          <t>Gls</t>
        </is>
      </c>
      <c r="X50" s="44" t="inlineStr">
        <is>
          <t>Ast</t>
        </is>
      </c>
      <c r="Y50" s="44" t="inlineStr">
        <is>
          <t>G+A</t>
        </is>
      </c>
      <c r="Z50" s="44" t="inlineStr">
        <is>
          <t>G-PK</t>
        </is>
      </c>
      <c r="AA50" s="44" t="inlineStr">
        <is>
          <t>G+A-PK</t>
        </is>
      </c>
      <c r="AB50" s="44" t="inlineStr">
        <is>
          <t>xG</t>
        </is>
      </c>
      <c r="AC50" s="44" t="inlineStr">
        <is>
          <t>xAG</t>
        </is>
      </c>
      <c r="AD50" s="44" t="inlineStr">
        <is>
          <t>xG+xAG</t>
        </is>
      </c>
      <c r="AE50" s="44" t="inlineStr">
        <is>
          <t>npxG</t>
        </is>
      </c>
      <c r="AF50" s="44" t="inlineStr">
        <is>
          <t>npxG+xAG</t>
        </is>
      </c>
      <c r="AM50">
        <f>C48</f>
        <v/>
      </c>
      <c r="AN50">
        <f>IFERROR(VLOOKUP(RIGHT(B48,LEN(B48)-11),Helpers!$B$4:$C$36,2,0),"")</f>
        <v/>
      </c>
      <c r="AO50">
        <f>IF(IF(COUNTIF($AW$5:$AW$100,AW50)&gt;1,TRUE,FALSE),"T"&amp;AW50,AW50)</f>
        <v/>
      </c>
      <c r="AP50">
        <f>IF(IF(COUNTIF($AX$5:$AX$100,AX50)&gt;1,TRUE,FALSE),"T"&amp;AX50,AX50)</f>
        <v/>
      </c>
      <c r="AQ50">
        <f>IF(IF(COUNTIF($AY$5:$AY$100,AY50)&gt;1,TRUE,FALSE),"T"&amp;AY50,AY50)</f>
        <v/>
      </c>
      <c r="AR50">
        <f>IF(IF(COUNTIF($AZ$5:$AZ$100,AZ50)&gt;1,TRUE,FALSE),"T"&amp;AZ50,AZ50)</f>
        <v/>
      </c>
      <c r="AT50" s="27">
        <f>IFERROR(I48/C48,"")</f>
        <v/>
      </c>
      <c r="AW50">
        <f>RANK(G48,(G$3,G$8,G$13,G$18,G$23,G$28,G$33,G$38,G$43,G$48,G$53,G$58,G$63,G$68,G$73,G$78,G$83,G$88,G$93,G$98))</f>
        <v/>
      </c>
      <c r="AX50">
        <f>RANK(H48,(H$3,H$8,H$13,H$18,H$23,H$28,H$33,H$38,H$43,H$48,H$53,H$58,H$63,H$68,H$73,H$78,H$83,H$88,H$93,H$98),1)</f>
        <v/>
      </c>
      <c r="AY50">
        <f>RANK(I48,(I$3,I$8,I$13,I$18,I$23,I$28,I$33,I$38,I$43,I$48,I$53,I$58,I$63,I$68,I$73,I$78,I$83,I$88,I$93,I$98),0)</f>
        <v/>
      </c>
      <c r="AZ50">
        <f>RANK(AT50,(AT$5,AT$10,AT$15,AT$20,AT$25,AT$30,AT$35,AT$40,AT$45,AT$50,AT$55,AT$60,AT$65,AT$70,AT$75,AT$80,AT$85,AT$90,AT$95,AT$100),0)</f>
        <v/>
      </c>
    </row>
    <row r="51" ht="17.1" customHeight="1" s="43">
      <c r="A51" s="3" t="inlineStr">
        <is>
          <t>Arsenal</t>
        </is>
      </c>
      <c r="B51" s="13" t="n">
        <v>25</v>
      </c>
      <c r="C51" s="13" t="n">
        <v>25.8</v>
      </c>
      <c r="D51" s="13" t="n">
        <v>56.9</v>
      </c>
      <c r="E51" s="13" t="n">
        <v>38</v>
      </c>
      <c r="F51" s="13" t="n">
        <v>418</v>
      </c>
      <c r="G51" s="38" t="n">
        <v>3420</v>
      </c>
      <c r="H51" s="13" t="n">
        <v>38</v>
      </c>
      <c r="I51" s="13" t="n">
        <v>67</v>
      </c>
      <c r="J51" s="13" t="n">
        <v>55</v>
      </c>
      <c r="K51" s="13" t="n">
        <v>122</v>
      </c>
      <c r="L51" s="13" t="n">
        <v>65</v>
      </c>
      <c r="M51" s="13" t="n">
        <v>2</v>
      </c>
      <c r="N51" s="13" t="n">
        <v>2</v>
      </c>
      <c r="O51" s="13" t="n">
        <v>70</v>
      </c>
      <c r="P51" s="13" t="n">
        <v>6</v>
      </c>
      <c r="Q51" s="13" t="n">
        <v>59.9</v>
      </c>
      <c r="R51" s="13" t="n">
        <v>58.4</v>
      </c>
      <c r="S51" s="13" t="n">
        <v>45.3</v>
      </c>
      <c r="T51" s="13" t="n">
        <v>103.6</v>
      </c>
      <c r="U51" s="13" t="n">
        <v>852</v>
      </c>
      <c r="V51" s="13" t="n">
        <v>1826</v>
      </c>
      <c r="W51" s="13" t="n">
        <v>1.76</v>
      </c>
      <c r="X51" s="13" t="n">
        <v>1.45</v>
      </c>
      <c r="Y51" s="13" t="n">
        <v>3.21</v>
      </c>
      <c r="Z51" s="13" t="n">
        <v>1.71</v>
      </c>
      <c r="AA51" s="13" t="n">
        <v>3.16</v>
      </c>
      <c r="AB51" s="13" t="n">
        <v>1.58</v>
      </c>
      <c r="AC51" s="13" t="n">
        <v>1.19</v>
      </c>
      <c r="AD51" s="13" t="n">
        <v>2.77</v>
      </c>
      <c r="AE51" s="13" t="n">
        <v>1.54</v>
      </c>
      <c r="AF51" s="13" t="n">
        <v>2.73</v>
      </c>
      <c r="AN51">
        <f>IFERROR(VLOOKUP(RIGHT(B49,LEN(B49)-11),Helpers!$B$4:$C$36,2,0),"")</f>
        <v/>
      </c>
    </row>
    <row r="52">
      <c r="A52" s="3" t="inlineStr">
        <is>
          <t>Aston Villa</t>
        </is>
      </c>
      <c r="B52" s="13" t="n">
        <v>28</v>
      </c>
      <c r="C52" s="13" t="n">
        <v>27</v>
      </c>
      <c r="D52" s="13" t="n">
        <v>50.5</v>
      </c>
      <c r="E52" s="13" t="n">
        <v>38</v>
      </c>
      <c r="F52" s="13" t="n">
        <v>418</v>
      </c>
      <c r="G52" s="38" t="n">
        <v>3420</v>
      </c>
      <c r="H52" s="13" t="n">
        <v>38</v>
      </c>
      <c r="I52" s="13" t="n">
        <v>56</v>
      </c>
      <c r="J52" s="13" t="n">
        <v>45</v>
      </c>
      <c r="K52" s="13" t="n">
        <v>101</v>
      </c>
      <c r="L52" s="13" t="n">
        <v>53</v>
      </c>
      <c r="M52" s="13" t="n">
        <v>3</v>
      </c>
      <c r="N52" s="13" t="n">
        <v>6</v>
      </c>
      <c r="O52" s="13" t="n">
        <v>76</v>
      </c>
      <c r="P52" s="13" t="n">
        <v>4</v>
      </c>
      <c r="Q52" s="13" t="n">
        <v>56.1</v>
      </c>
      <c r="R52" s="13" t="n">
        <v>51.3</v>
      </c>
      <c r="S52" s="13" t="n">
        <v>41.7</v>
      </c>
      <c r="T52" s="13" t="n">
        <v>93</v>
      </c>
      <c r="U52" s="13" t="n">
        <v>720</v>
      </c>
      <c r="V52" s="13" t="n">
        <v>1344</v>
      </c>
      <c r="W52" s="13" t="n">
        <v>1.47</v>
      </c>
      <c r="X52" s="13" t="n">
        <v>1.18</v>
      </c>
      <c r="Y52" s="13" t="n">
        <v>2.66</v>
      </c>
      <c r="Z52" s="13" t="n">
        <v>1.39</v>
      </c>
      <c r="AA52" s="13" t="n">
        <v>2.58</v>
      </c>
      <c r="AB52" s="13" t="n">
        <v>1.48</v>
      </c>
      <c r="AC52" s="13" t="n">
        <v>1.1</v>
      </c>
      <c r="AD52" s="13" t="n">
        <v>2.57</v>
      </c>
      <c r="AE52" s="13" t="n">
        <v>1.35</v>
      </c>
      <c r="AF52" s="13" t="n">
        <v>2.45</v>
      </c>
      <c r="AN52">
        <f>IFERROR(VLOOKUP(RIGHT(B50,LEN(B50)-11),Helpers!$B$4:$C$36,2,0),"")</f>
        <v/>
      </c>
    </row>
    <row r="53" ht="17.1" customHeight="1" s="43">
      <c r="A53" s="3" t="inlineStr">
        <is>
          <t>Bournemouth</t>
        </is>
      </c>
      <c r="B53" s="13" t="n">
        <v>29</v>
      </c>
      <c r="C53" s="13" t="n">
        <v>25.1</v>
      </c>
      <c r="D53" s="13" t="n">
        <v>48.5</v>
      </c>
      <c r="E53" s="13" t="n">
        <v>38</v>
      </c>
      <c r="F53" s="13" t="n">
        <v>418</v>
      </c>
      <c r="G53" s="38" t="n">
        <v>3420</v>
      </c>
      <c r="H53" s="13" t="n">
        <v>38</v>
      </c>
      <c r="I53" s="13" t="n">
        <v>57</v>
      </c>
      <c r="J53" s="13" t="n">
        <v>41</v>
      </c>
      <c r="K53" s="13" t="n">
        <v>98</v>
      </c>
      <c r="L53" s="13" t="n">
        <v>51</v>
      </c>
      <c r="M53" s="13" t="n">
        <v>6</v>
      </c>
      <c r="N53" s="13" t="n">
        <v>7</v>
      </c>
      <c r="O53" s="13" t="n">
        <v>97</v>
      </c>
      <c r="P53" s="13" t="n">
        <v>3</v>
      </c>
      <c r="Q53" s="13" t="n">
        <v>64</v>
      </c>
      <c r="R53" s="13" t="n">
        <v>58.5</v>
      </c>
      <c r="S53" s="13" t="n">
        <v>43.8</v>
      </c>
      <c r="T53" s="13" t="n">
        <v>102.3</v>
      </c>
      <c r="U53" s="13" t="n">
        <v>754</v>
      </c>
      <c r="V53" s="13" t="n">
        <v>1489</v>
      </c>
      <c r="W53" s="13" t="n">
        <v>1.5</v>
      </c>
      <c r="X53" s="13" t="n">
        <v>1.08</v>
      </c>
      <c r="Y53" s="13" t="n">
        <v>2.58</v>
      </c>
      <c r="Z53" s="13" t="n">
        <v>1.34</v>
      </c>
      <c r="AA53" s="13" t="n">
        <v>2.42</v>
      </c>
      <c r="AB53" s="13" t="n">
        <v>1.68</v>
      </c>
      <c r="AC53" s="13" t="n">
        <v>1.15</v>
      </c>
      <c r="AD53" s="13" t="n">
        <v>2.84</v>
      </c>
      <c r="AE53" s="13" t="n">
        <v>1.54</v>
      </c>
      <c r="AF53" s="13" t="n">
        <v>2.69</v>
      </c>
      <c r="AL53">
        <f>AN55</f>
        <v/>
      </c>
      <c r="AN53">
        <f>IFERROR(VLOOKUP(RIGHT(B51,LEN(B51)-11),Helpers!$B$4:$C$36,2,0),"")</f>
        <v/>
      </c>
    </row>
    <row r="54">
      <c r="A54" s="3" t="inlineStr">
        <is>
          <t>Brentford</t>
        </is>
      </c>
      <c r="B54" s="13" t="n">
        <v>28</v>
      </c>
      <c r="C54" s="13" t="n">
        <v>25.8</v>
      </c>
      <c r="D54" s="13" t="n">
        <v>47.9</v>
      </c>
      <c r="E54" s="13" t="n">
        <v>38</v>
      </c>
      <c r="F54" s="13" t="n">
        <v>418</v>
      </c>
      <c r="G54" s="38" t="n">
        <v>3420</v>
      </c>
      <c r="H54" s="13" t="n">
        <v>38</v>
      </c>
      <c r="I54" s="13" t="n">
        <v>65</v>
      </c>
      <c r="J54" s="13" t="n">
        <v>44</v>
      </c>
      <c r="K54" s="13" t="n">
        <v>109</v>
      </c>
      <c r="L54" s="13" t="n">
        <v>60</v>
      </c>
      <c r="M54" s="13" t="n">
        <v>5</v>
      </c>
      <c r="N54" s="13" t="n">
        <v>6</v>
      </c>
      <c r="O54" s="13" t="n">
        <v>62</v>
      </c>
      <c r="P54" s="13" t="n">
        <v>1</v>
      </c>
      <c r="Q54" s="13" t="n">
        <v>59</v>
      </c>
      <c r="R54" s="13" t="n">
        <v>54.4</v>
      </c>
      <c r="S54" s="13" t="n">
        <v>42.4</v>
      </c>
      <c r="T54" s="13" t="n">
        <v>96.8</v>
      </c>
      <c r="U54" s="13" t="n">
        <v>598</v>
      </c>
      <c r="V54" s="13" t="n">
        <v>1356</v>
      </c>
      <c r="W54" s="13" t="n">
        <v>1.71</v>
      </c>
      <c r="X54" s="13" t="n">
        <v>1.16</v>
      </c>
      <c r="Y54" s="13" t="n">
        <v>2.87</v>
      </c>
      <c r="Z54" s="13" t="n">
        <v>1.58</v>
      </c>
      <c r="AA54" s="13" t="n">
        <v>2.74</v>
      </c>
      <c r="AB54" s="13" t="n">
        <v>1.55</v>
      </c>
      <c r="AC54" s="13" t="n">
        <v>1.12</v>
      </c>
      <c r="AD54" s="13" t="n">
        <v>2.67</v>
      </c>
      <c r="AE54" s="13" t="n">
        <v>1.43</v>
      </c>
      <c r="AF54" s="13" t="n">
        <v>2.55</v>
      </c>
      <c r="AN54">
        <f>IFERROR(VLOOKUP(RIGHT(B52,LEN(B52)-11),Helpers!$B$4:$C$36,2,0),"")</f>
        <v/>
      </c>
    </row>
    <row r="55" ht="17.1" customHeight="1" s="43">
      <c r="A55" s="3" t="inlineStr">
        <is>
          <t>Brighton</t>
        </is>
      </c>
      <c r="B55" s="13" t="n">
        <v>32</v>
      </c>
      <c r="C55" s="13" t="n">
        <v>24.8</v>
      </c>
      <c r="D55" s="13" t="n">
        <v>52.3</v>
      </c>
      <c r="E55" s="13" t="n">
        <v>38</v>
      </c>
      <c r="F55" s="13" t="n">
        <v>418</v>
      </c>
      <c r="G55" s="38" t="n">
        <v>3420</v>
      </c>
      <c r="H55" s="13" t="n">
        <v>38</v>
      </c>
      <c r="I55" s="13" t="n">
        <v>64</v>
      </c>
      <c r="J55" s="13" t="n">
        <v>41</v>
      </c>
      <c r="K55" s="13" t="n">
        <v>105</v>
      </c>
      <c r="L55" s="13" t="n">
        <v>57</v>
      </c>
      <c r="M55" s="13" t="n">
        <v>7</v>
      </c>
      <c r="N55" s="13" t="n">
        <v>7</v>
      </c>
      <c r="O55" s="13" t="n">
        <v>78</v>
      </c>
      <c r="P55" s="13" t="n">
        <v>3</v>
      </c>
      <c r="Q55" s="13" t="n">
        <v>58.7</v>
      </c>
      <c r="R55" s="13" t="n">
        <v>53.3</v>
      </c>
      <c r="S55" s="13" t="n">
        <v>40.4</v>
      </c>
      <c r="T55" s="13" t="n">
        <v>93.7</v>
      </c>
      <c r="U55" s="13" t="n">
        <v>816</v>
      </c>
      <c r="V55" s="13" t="n">
        <v>1539</v>
      </c>
      <c r="W55" s="13" t="n">
        <v>1.68</v>
      </c>
      <c r="X55" s="13" t="n">
        <v>1.08</v>
      </c>
      <c r="Y55" s="13" t="n">
        <v>2.76</v>
      </c>
      <c r="Z55" s="13" t="n">
        <v>1.5</v>
      </c>
      <c r="AA55" s="13" t="n">
        <v>2.58</v>
      </c>
      <c r="AB55" s="13" t="n">
        <v>1.54</v>
      </c>
      <c r="AC55" s="13" t="n">
        <v>1.06</v>
      </c>
      <c r="AD55" s="13" t="n">
        <v>2.61</v>
      </c>
      <c r="AE55" s="13" t="n">
        <v>1.4</v>
      </c>
      <c r="AF55" s="13" t="n">
        <v>2.47</v>
      </c>
      <c r="AM55">
        <f>C53</f>
        <v/>
      </c>
      <c r="AN55">
        <f>IFERROR(VLOOKUP(RIGHT(B53,LEN(B53)-11),Helpers!$B$4:$C$36,2,0),"")</f>
        <v/>
      </c>
      <c r="AO55">
        <f>IF(IF(COUNTIF($AW$5:$AW$100,AW55)&gt;1,TRUE,FALSE),"T"&amp;AW55,AW55)</f>
        <v/>
      </c>
      <c r="AP55">
        <f>IF(IF(COUNTIF($AX$5:$AX$100,AX55)&gt;1,TRUE,FALSE),"T"&amp;AX55,AX55)</f>
        <v/>
      </c>
      <c r="AQ55">
        <f>IF(IF(COUNTIF($AY$5:$AY$100,AY55)&gt;1,TRUE,FALSE),"T"&amp;AY55,AY55)</f>
        <v/>
      </c>
      <c r="AR55">
        <f>IF(IF(COUNTIF($AZ$5:$AZ$100,AZ55)&gt;1,TRUE,FALSE),"T"&amp;AZ55,AZ55)</f>
        <v/>
      </c>
      <c r="AT55" s="27">
        <f>IFERROR(I53/C53,"")</f>
        <v/>
      </c>
      <c r="AW55">
        <f>RANK(G53,(G$3,G$8,G$13,G$18,G$23,G$28,G$33,G$38,G$43,G$48,G$53,G$58,G$63,G$68,G$73,G$78,G$83,G$88,G$93,G$98))</f>
        <v/>
      </c>
      <c r="AX55">
        <f>RANK(H53,(H$3,H$8,H$13,H$18,H$23,H$28,H$33,H$38,H$43,H$48,H$53,H$58,H$63,H$68,H$73,H$78,H$83,H$88,H$93,H$98),1)</f>
        <v/>
      </c>
      <c r="AY55">
        <f>RANK(I53,(I$3,I$8,I$13,I$18,I$23,I$28,I$33,I$38,I$43,I$48,I$53,I$58,I$63,I$68,I$73,I$78,I$83,I$88,I$93,I$98),0)</f>
        <v/>
      </c>
      <c r="AZ55">
        <f>RANK(AT55,(AT$5,AT$10,AT$15,AT$20,AT$25,AT$30,AT$35,AT$40,AT$45,AT$50,AT$55,AT$60,AT$65,AT$70,AT$75,AT$80,AT$85,AT$90,AT$95,AT$100),0)</f>
        <v/>
      </c>
    </row>
    <row r="56">
      <c r="A56" s="3" t="inlineStr">
        <is>
          <t>Chelsea</t>
        </is>
      </c>
      <c r="B56" s="13" t="n">
        <v>29</v>
      </c>
      <c r="C56" s="13" t="n">
        <v>23.7</v>
      </c>
      <c r="D56" s="13" t="n">
        <v>57.1</v>
      </c>
      <c r="E56" s="13" t="n">
        <v>38</v>
      </c>
      <c r="F56" s="13" t="n">
        <v>418</v>
      </c>
      <c r="G56" s="38" t="n">
        <v>3420</v>
      </c>
      <c r="H56" s="13" t="n">
        <v>38</v>
      </c>
      <c r="I56" s="13" t="n">
        <v>61</v>
      </c>
      <c r="J56" s="13" t="n">
        <v>47</v>
      </c>
      <c r="K56" s="13" t="n">
        <v>108</v>
      </c>
      <c r="L56" s="13" t="n">
        <v>57</v>
      </c>
      <c r="M56" s="13" t="n">
        <v>4</v>
      </c>
      <c r="N56" s="13" t="n">
        <v>5</v>
      </c>
      <c r="O56" s="13" t="n">
        <v>101</v>
      </c>
      <c r="P56" s="13" t="n">
        <v>2</v>
      </c>
      <c r="Q56" s="13" t="n">
        <v>67.8</v>
      </c>
      <c r="R56" s="13" t="n">
        <v>63.8</v>
      </c>
      <c r="S56" s="13" t="n">
        <v>52.7</v>
      </c>
      <c r="T56" s="13" t="n">
        <v>116.5</v>
      </c>
      <c r="U56" s="13" t="n">
        <v>861</v>
      </c>
      <c r="V56" s="13" t="n">
        <v>1595</v>
      </c>
      <c r="W56" s="13" t="n">
        <v>1.61</v>
      </c>
      <c r="X56" s="13" t="n">
        <v>1.24</v>
      </c>
      <c r="Y56" s="13" t="n">
        <v>2.84</v>
      </c>
      <c r="Z56" s="13" t="n">
        <v>1.5</v>
      </c>
      <c r="AA56" s="13" t="n">
        <v>2.74</v>
      </c>
      <c r="AB56" s="13" t="n">
        <v>1.78</v>
      </c>
      <c r="AC56" s="13" t="n">
        <v>1.39</v>
      </c>
      <c r="AD56" s="13" t="n">
        <v>3.17</v>
      </c>
      <c r="AE56" s="13" t="n">
        <v>1.68</v>
      </c>
      <c r="AF56" s="13" t="n">
        <v>3.07</v>
      </c>
      <c r="AN56">
        <f>IFERROR(VLOOKUP(RIGHT(B54,LEN(B54)-11),Helpers!$B$4:$C$36,2,0),"")</f>
        <v/>
      </c>
    </row>
    <row r="57" ht="17.1" customHeight="1" s="43">
      <c r="A57" s="3" t="inlineStr">
        <is>
          <t>Crystal Palace</t>
        </is>
      </c>
      <c r="B57" s="13" t="n">
        <v>29</v>
      </c>
      <c r="C57" s="13" t="n">
        <v>26.2</v>
      </c>
      <c r="D57" s="13" t="n">
        <v>42.8</v>
      </c>
      <c r="E57" s="13" t="n">
        <v>38</v>
      </c>
      <c r="F57" s="13" t="n">
        <v>418</v>
      </c>
      <c r="G57" s="38" t="n">
        <v>3420</v>
      </c>
      <c r="H57" s="13" t="n">
        <v>38</v>
      </c>
      <c r="I57" s="13" t="n">
        <v>49</v>
      </c>
      <c r="J57" s="13" t="n">
        <v>38</v>
      </c>
      <c r="K57" s="13" t="n">
        <v>87</v>
      </c>
      <c r="L57" s="13" t="n">
        <v>46</v>
      </c>
      <c r="M57" s="13" t="n">
        <v>3</v>
      </c>
      <c r="N57" s="13" t="n">
        <v>4</v>
      </c>
      <c r="O57" s="13" t="n">
        <v>80</v>
      </c>
      <c r="P57" s="13" t="n">
        <v>4</v>
      </c>
      <c r="Q57" s="13" t="n">
        <v>60.4</v>
      </c>
      <c r="R57" s="13" t="n">
        <v>57.3</v>
      </c>
      <c r="S57" s="13" t="n">
        <v>46.4</v>
      </c>
      <c r="T57" s="13" t="n">
        <v>103.7</v>
      </c>
      <c r="U57" s="13" t="n">
        <v>510</v>
      </c>
      <c r="V57" s="13" t="n">
        <v>1158</v>
      </c>
      <c r="W57" s="13" t="n">
        <v>1.29</v>
      </c>
      <c r="X57" s="13" t="n">
        <v>1</v>
      </c>
      <c r="Y57" s="13" t="n">
        <v>2.29</v>
      </c>
      <c r="Z57" s="13" t="n">
        <v>1.21</v>
      </c>
      <c r="AA57" s="13" t="n">
        <v>2.21</v>
      </c>
      <c r="AB57" s="13" t="n">
        <v>1.59</v>
      </c>
      <c r="AC57" s="13" t="n">
        <v>1.22</v>
      </c>
      <c r="AD57" s="13" t="n">
        <v>2.81</v>
      </c>
      <c r="AE57" s="13" t="n">
        <v>1.51</v>
      </c>
      <c r="AF57" s="13" t="n">
        <v>2.73</v>
      </c>
      <c r="AN57">
        <f>IFERROR(VLOOKUP(RIGHT(B55,LEN(B55)-11),Helpers!$B$4:$C$36,2,0),"")</f>
        <v/>
      </c>
    </row>
    <row r="58">
      <c r="A58" s="3" t="inlineStr">
        <is>
          <t>Everton</t>
        </is>
      </c>
      <c r="B58" s="13" t="n">
        <v>26</v>
      </c>
      <c r="C58" s="13" t="n">
        <v>28</v>
      </c>
      <c r="D58" s="13" t="n">
        <v>40.9</v>
      </c>
      <c r="E58" s="13" t="n">
        <v>38</v>
      </c>
      <c r="F58" s="13" t="n">
        <v>418</v>
      </c>
      <c r="G58" s="38" t="n">
        <v>3420</v>
      </c>
      <c r="H58" s="13" t="n">
        <v>38</v>
      </c>
      <c r="I58" s="13" t="n">
        <v>39</v>
      </c>
      <c r="J58" s="13" t="n">
        <v>27</v>
      </c>
      <c r="K58" s="13" t="n">
        <v>66</v>
      </c>
      <c r="L58" s="13" t="n">
        <v>37</v>
      </c>
      <c r="M58" s="13" t="n">
        <v>2</v>
      </c>
      <c r="N58" s="13" t="n">
        <v>2</v>
      </c>
      <c r="O58" s="13" t="n">
        <v>82</v>
      </c>
      <c r="P58" s="13" t="n">
        <v>2</v>
      </c>
      <c r="Q58" s="13" t="n">
        <v>41.8</v>
      </c>
      <c r="R58" s="13" t="n">
        <v>40.2</v>
      </c>
      <c r="S58" s="13" t="n">
        <v>32.2</v>
      </c>
      <c r="T58" s="13" t="n">
        <v>72.40000000000001</v>
      </c>
      <c r="U58" s="13" t="n">
        <v>486</v>
      </c>
      <c r="V58" s="13" t="n">
        <v>1041</v>
      </c>
      <c r="W58" s="13" t="n">
        <v>1.03</v>
      </c>
      <c r="X58" s="13" t="n">
        <v>0.71</v>
      </c>
      <c r="Y58" s="13" t="n">
        <v>1.74</v>
      </c>
      <c r="Z58" s="13" t="n">
        <v>0.97</v>
      </c>
      <c r="AA58" s="13" t="n">
        <v>1.68</v>
      </c>
      <c r="AB58" s="13" t="n">
        <v>1.1</v>
      </c>
      <c r="AC58" s="13" t="n">
        <v>0.85</v>
      </c>
      <c r="AD58" s="13" t="n">
        <v>1.95</v>
      </c>
      <c r="AE58" s="13" t="n">
        <v>1.06</v>
      </c>
      <c r="AF58" s="13" t="n">
        <v>1.91</v>
      </c>
      <c r="AL58">
        <f>AN60</f>
        <v/>
      </c>
      <c r="AN58">
        <f>IFERROR(VLOOKUP(RIGHT(B56,LEN(B56)-11),Helpers!$B$4:$C$36,2,0),"")</f>
        <v/>
      </c>
    </row>
    <row r="59" ht="17.1" customHeight="1" s="43">
      <c r="A59" s="3" t="inlineStr">
        <is>
          <t>Fulham</t>
        </is>
      </c>
      <c r="B59" s="13" t="n">
        <v>26</v>
      </c>
      <c r="C59" s="13" t="n">
        <v>28.1</v>
      </c>
      <c r="D59" s="13" t="n">
        <v>52.3</v>
      </c>
      <c r="E59" s="13" t="n">
        <v>38</v>
      </c>
      <c r="F59" s="13" t="n">
        <v>418</v>
      </c>
      <c r="G59" s="38" t="n">
        <v>3420</v>
      </c>
      <c r="H59" s="13" t="n">
        <v>38</v>
      </c>
      <c r="I59" s="13" t="n">
        <v>53</v>
      </c>
      <c r="J59" s="13" t="n">
        <v>44</v>
      </c>
      <c r="K59" s="13" t="n">
        <v>97</v>
      </c>
      <c r="L59" s="13" t="n">
        <v>50</v>
      </c>
      <c r="M59" s="13" t="n">
        <v>3</v>
      </c>
      <c r="N59" s="13" t="n">
        <v>4</v>
      </c>
      <c r="O59" s="13" t="n">
        <v>80</v>
      </c>
      <c r="P59" s="13" t="n">
        <v>2</v>
      </c>
      <c r="Q59" s="13" t="n">
        <v>49</v>
      </c>
      <c r="R59" s="13" t="n">
        <v>45.9</v>
      </c>
      <c r="S59" s="13" t="n">
        <v>37.5</v>
      </c>
      <c r="T59" s="13" t="n">
        <v>83.40000000000001</v>
      </c>
      <c r="U59" s="13" t="n">
        <v>786</v>
      </c>
      <c r="V59" s="13" t="n">
        <v>1558</v>
      </c>
      <c r="W59" s="13" t="n">
        <v>1.39</v>
      </c>
      <c r="X59" s="13" t="n">
        <v>1.16</v>
      </c>
      <c r="Y59" s="13" t="n">
        <v>2.55</v>
      </c>
      <c r="Z59" s="13" t="n">
        <v>1.32</v>
      </c>
      <c r="AA59" s="13" t="n">
        <v>2.47</v>
      </c>
      <c r="AB59" s="13" t="n">
        <v>1.29</v>
      </c>
      <c r="AC59" s="13" t="n">
        <v>0.99</v>
      </c>
      <c r="AD59" s="13" t="n">
        <v>2.28</v>
      </c>
      <c r="AE59" s="13" t="n">
        <v>1.21</v>
      </c>
      <c r="AF59" s="13" t="n">
        <v>2.2</v>
      </c>
      <c r="AN59">
        <f>IFERROR(VLOOKUP(RIGHT(B57,LEN(B57)-11),Helpers!$B$4:$C$36,2,0),"")</f>
        <v/>
      </c>
    </row>
    <row r="60">
      <c r="A60" s="3" t="inlineStr">
        <is>
          <t>Ipswich Town</t>
        </is>
      </c>
      <c r="B60" s="13" t="n">
        <v>32</v>
      </c>
      <c r="C60" s="13" t="n">
        <v>25.8</v>
      </c>
      <c r="D60" s="13" t="n">
        <v>40.6</v>
      </c>
      <c r="E60" s="13" t="n">
        <v>38</v>
      </c>
      <c r="F60" s="13" t="n">
        <v>418</v>
      </c>
      <c r="G60" s="38" t="n">
        <v>3420</v>
      </c>
      <c r="H60" s="13" t="n">
        <v>38</v>
      </c>
      <c r="I60" s="13" t="n">
        <v>35</v>
      </c>
      <c r="J60" s="13" t="n">
        <v>26</v>
      </c>
      <c r="K60" s="13" t="n">
        <v>61</v>
      </c>
      <c r="L60" s="13" t="n">
        <v>33</v>
      </c>
      <c r="M60" s="13" t="n">
        <v>2</v>
      </c>
      <c r="N60" s="13" t="n">
        <v>2</v>
      </c>
      <c r="O60" s="13" t="n">
        <v>93</v>
      </c>
      <c r="P60" s="13" t="n">
        <v>5</v>
      </c>
      <c r="Q60" s="13" t="n">
        <v>34.4</v>
      </c>
      <c r="R60" s="13" t="n">
        <v>32.8</v>
      </c>
      <c r="S60" s="13" t="n">
        <v>24.2</v>
      </c>
      <c r="T60" s="13" t="n">
        <v>57</v>
      </c>
      <c r="U60" s="13" t="n">
        <v>513</v>
      </c>
      <c r="V60" s="13" t="n">
        <v>935</v>
      </c>
      <c r="W60" s="13" t="n">
        <v>0.92</v>
      </c>
      <c r="X60" s="13" t="n">
        <v>0.68</v>
      </c>
      <c r="Y60" s="13" t="n">
        <v>1.61</v>
      </c>
      <c r="Z60" s="13" t="n">
        <v>0.87</v>
      </c>
      <c r="AA60" s="13" t="n">
        <v>1.55</v>
      </c>
      <c r="AB60" s="13" t="n">
        <v>0.9</v>
      </c>
      <c r="AC60" s="13" t="n">
        <v>0.64</v>
      </c>
      <c r="AD60" s="13" t="n">
        <v>1.54</v>
      </c>
      <c r="AE60" s="13" t="n">
        <v>0.86</v>
      </c>
      <c r="AF60" s="13" t="n">
        <v>1.5</v>
      </c>
      <c r="AM60">
        <f>C58</f>
        <v/>
      </c>
      <c r="AN60">
        <f>IFERROR(VLOOKUP(RIGHT(B58,LEN(B58)-11),Helpers!$B$4:$C$36,2,0),"")</f>
        <v/>
      </c>
      <c r="AO60">
        <f>IF(IF(COUNTIF($AW$5:$AW$100,AW60)&gt;1,TRUE,FALSE),"T"&amp;AW60,AW60)</f>
        <v/>
      </c>
      <c r="AP60">
        <f>IF(IF(COUNTIF($AX$5:$AX$100,AX60)&gt;1,TRUE,FALSE),"T"&amp;AX60,AX60)</f>
        <v/>
      </c>
      <c r="AQ60">
        <f>IF(IF(COUNTIF($AY$5:$AY$100,AY60)&gt;1,TRUE,FALSE),"T"&amp;AY60,AY60)</f>
        <v/>
      </c>
      <c r="AR60">
        <f>IF(IF(COUNTIF($AZ$5:$AZ$100,AZ60)&gt;1,TRUE,FALSE),"T"&amp;AZ60,AZ60)</f>
        <v/>
      </c>
      <c r="AT60" s="27">
        <f>IFERROR(I58/C58,"")</f>
        <v/>
      </c>
      <c r="AW60">
        <f>RANK(G58,(G$3,G$8,G$13,G$18,G$23,G$28,G$33,G$38,G$43,G$48,G$53,G$58,G$63,G$68,G$73,G$78,G$83,G$88,G$93,G$98))</f>
        <v/>
      </c>
      <c r="AX60">
        <f>RANK(H58,(H$3,H$8,H$13,H$18,H$23,H$28,H$33,H$38,H$43,H$48,H$53,H$58,H$63,H$68,H$73,H$78,H$83,H$88,H$93,H$98),1)</f>
        <v/>
      </c>
      <c r="AY60">
        <f>RANK(I58,(I$3,I$8,I$13,I$18,I$23,I$28,I$33,I$38,I$43,I$48,I$53,I$58,I$63,I$68,I$73,I$78,I$83,I$88,I$93,I$98),0)</f>
        <v/>
      </c>
      <c r="AZ60">
        <f>RANK(AT60,(AT$5,AT$10,AT$15,AT$20,AT$25,AT$30,AT$35,AT$40,AT$45,AT$50,AT$55,AT$60,AT$65,AT$70,AT$75,AT$80,AT$85,AT$90,AT$95,AT$100),0)</f>
        <v/>
      </c>
    </row>
    <row r="61" ht="15.95" customHeight="1" s="43">
      <c r="A61" s="3" t="inlineStr">
        <is>
          <t>Leicester City</t>
        </is>
      </c>
      <c r="B61" s="13" t="n">
        <v>32</v>
      </c>
      <c r="C61" s="13" t="n">
        <v>26.6</v>
      </c>
      <c r="D61" s="13" t="n">
        <v>45.4</v>
      </c>
      <c r="E61" s="13" t="n">
        <v>38</v>
      </c>
      <c r="F61" s="13" t="n">
        <v>418</v>
      </c>
      <c r="G61" s="38" t="n">
        <v>3420</v>
      </c>
      <c r="H61" s="13" t="n">
        <v>38</v>
      </c>
      <c r="I61" s="13" t="n">
        <v>33</v>
      </c>
      <c r="J61" s="13" t="n">
        <v>25</v>
      </c>
      <c r="K61" s="13" t="n">
        <v>58</v>
      </c>
      <c r="L61" s="13" t="n">
        <v>31</v>
      </c>
      <c r="M61" s="13" t="n">
        <v>2</v>
      </c>
      <c r="N61" s="13" t="n">
        <v>3</v>
      </c>
      <c r="O61" s="13" t="n">
        <v>87</v>
      </c>
      <c r="P61" s="13" t="n">
        <v>0</v>
      </c>
      <c r="Q61" s="13" t="n">
        <v>32.6</v>
      </c>
      <c r="R61" s="13" t="n">
        <v>30.4</v>
      </c>
      <c r="S61" s="13" t="n">
        <v>25.1</v>
      </c>
      <c r="T61" s="13" t="n">
        <v>55.5</v>
      </c>
      <c r="U61" s="13" t="n">
        <v>576</v>
      </c>
      <c r="V61" s="13" t="n">
        <v>1082</v>
      </c>
      <c r="W61" s="13" t="n">
        <v>0.87</v>
      </c>
      <c r="X61" s="13" t="n">
        <v>0.66</v>
      </c>
      <c r="Y61" s="13" t="n">
        <v>1.53</v>
      </c>
      <c r="Z61" s="13" t="n">
        <v>0.82</v>
      </c>
      <c r="AA61" s="13" t="n">
        <v>1.47</v>
      </c>
      <c r="AB61" s="13" t="n">
        <v>0.86</v>
      </c>
      <c r="AC61" s="13" t="n">
        <v>0.66</v>
      </c>
      <c r="AD61" s="13" t="n">
        <v>1.52</v>
      </c>
      <c r="AE61" s="13" t="n">
        <v>0.8</v>
      </c>
      <c r="AF61" s="13" t="n">
        <v>1.46</v>
      </c>
      <c r="AN61">
        <f>IFERROR(VLOOKUP(RIGHT(B59,LEN(B59)-11),Helpers!$B$4:$C$36,2,0),"")</f>
        <v/>
      </c>
    </row>
    <row r="62">
      <c r="A62" s="3" t="inlineStr">
        <is>
          <t>Liverpool</t>
        </is>
      </c>
      <c r="B62" s="13" t="n">
        <v>24</v>
      </c>
      <c r="C62" s="13" t="n">
        <v>27.2</v>
      </c>
      <c r="D62" s="13" t="n">
        <v>57.7</v>
      </c>
      <c r="E62" s="13" t="n">
        <v>38</v>
      </c>
      <c r="F62" s="13" t="n">
        <v>418</v>
      </c>
      <c r="G62" s="38" t="n">
        <v>3420</v>
      </c>
      <c r="H62" s="13" t="n">
        <v>38</v>
      </c>
      <c r="I62" s="13" t="n">
        <v>85</v>
      </c>
      <c r="J62" s="13" t="n">
        <v>65</v>
      </c>
      <c r="K62" s="13" t="n">
        <v>150</v>
      </c>
      <c r="L62" s="13" t="n">
        <v>76</v>
      </c>
      <c r="M62" s="13" t="n">
        <v>9</v>
      </c>
      <c r="N62" s="13" t="n">
        <v>9</v>
      </c>
      <c r="O62" s="13" t="n">
        <v>67</v>
      </c>
      <c r="P62" s="13" t="n">
        <v>3</v>
      </c>
      <c r="Q62" s="13" t="n">
        <v>82.2</v>
      </c>
      <c r="R62" s="13" t="n">
        <v>75.2</v>
      </c>
      <c r="S62" s="13" t="n">
        <v>61.6</v>
      </c>
      <c r="T62" s="13" t="n">
        <v>136.8</v>
      </c>
      <c r="U62" s="13" t="n">
        <v>825</v>
      </c>
      <c r="V62" s="13" t="n">
        <v>1924</v>
      </c>
      <c r="W62" s="13" t="n">
        <v>2.24</v>
      </c>
      <c r="X62" s="13" t="n">
        <v>1.71</v>
      </c>
      <c r="Y62" s="13" t="n">
        <v>3.95</v>
      </c>
      <c r="Z62" s="13" t="n">
        <v>2</v>
      </c>
      <c r="AA62" s="13" t="n">
        <v>3.71</v>
      </c>
      <c r="AB62" s="13" t="n">
        <v>2.16</v>
      </c>
      <c r="AC62" s="13" t="n">
        <v>1.62</v>
      </c>
      <c r="AD62" s="13" t="n">
        <v>3.78</v>
      </c>
      <c r="AE62" s="13" t="n">
        <v>1.98</v>
      </c>
      <c r="AF62" s="13" t="n">
        <v>3.6</v>
      </c>
      <c r="AN62">
        <f>IFERROR(VLOOKUP(RIGHT(B60,LEN(B60)-11),Helpers!$B$4:$C$36,2,0),"")</f>
        <v/>
      </c>
    </row>
    <row r="63" ht="17.1" customHeight="1" s="43">
      <c r="A63" s="3" t="inlineStr">
        <is>
          <t>Manchester City</t>
        </is>
      </c>
      <c r="B63" s="13" t="n">
        <v>30</v>
      </c>
      <c r="C63" s="13" t="n">
        <v>26.8</v>
      </c>
      <c r="D63" s="13" t="n">
        <v>61.3</v>
      </c>
      <c r="E63" s="13" t="n">
        <v>38</v>
      </c>
      <c r="F63" s="13" t="n">
        <v>418</v>
      </c>
      <c r="G63" s="38" t="n">
        <v>3420</v>
      </c>
      <c r="H63" s="13" t="n">
        <v>38</v>
      </c>
      <c r="I63" s="13" t="n">
        <v>71</v>
      </c>
      <c r="J63" s="13" t="n">
        <v>51</v>
      </c>
      <c r="K63" s="13" t="n">
        <v>122</v>
      </c>
      <c r="L63" s="13" t="n">
        <v>68</v>
      </c>
      <c r="M63" s="13" t="n">
        <v>3</v>
      </c>
      <c r="N63" s="13" t="n">
        <v>4</v>
      </c>
      <c r="O63" s="13" t="n">
        <v>59</v>
      </c>
      <c r="P63" s="13" t="n">
        <v>2</v>
      </c>
      <c r="Q63" s="13" t="n">
        <v>68.09999999999999</v>
      </c>
      <c r="R63" s="13" t="n">
        <v>64.90000000000001</v>
      </c>
      <c r="S63" s="13" t="n">
        <v>54.2</v>
      </c>
      <c r="T63" s="13" t="n">
        <v>119.1</v>
      </c>
      <c r="U63" s="13" t="n">
        <v>1146</v>
      </c>
      <c r="V63" s="13" t="n">
        <v>1944</v>
      </c>
      <c r="W63" s="13" t="n">
        <v>1.87</v>
      </c>
      <c r="X63" s="13" t="n">
        <v>1.34</v>
      </c>
      <c r="Y63" s="13" t="n">
        <v>3.21</v>
      </c>
      <c r="Z63" s="13" t="n">
        <v>1.79</v>
      </c>
      <c r="AA63" s="13" t="n">
        <v>3.13</v>
      </c>
      <c r="AB63" s="13" t="n">
        <v>1.79</v>
      </c>
      <c r="AC63" s="13" t="n">
        <v>1.43</v>
      </c>
      <c r="AD63" s="13" t="n">
        <v>3.22</v>
      </c>
      <c r="AE63" s="13" t="n">
        <v>1.71</v>
      </c>
      <c r="AF63" s="13" t="n">
        <v>3.13</v>
      </c>
      <c r="AL63">
        <f>AN65</f>
        <v/>
      </c>
      <c r="AN63">
        <f>IFERROR(VLOOKUP(RIGHT(B61,LEN(B61)-11),Helpers!$B$4:$C$36,2,0),"")</f>
        <v/>
      </c>
    </row>
    <row r="64" ht="17.1" customHeight="1" s="43">
      <c r="A64" s="3" t="inlineStr">
        <is>
          <t>Manchester Utd</t>
        </is>
      </c>
      <c r="B64" s="13" t="n">
        <v>31</v>
      </c>
      <c r="C64" s="13" t="n">
        <v>25.5</v>
      </c>
      <c r="D64" s="13" t="n">
        <v>53.5</v>
      </c>
      <c r="E64" s="13" t="n">
        <v>38</v>
      </c>
      <c r="F64" s="13" t="n">
        <v>418</v>
      </c>
      <c r="G64" s="38" t="n">
        <v>3420</v>
      </c>
      <c r="H64" s="13" t="n">
        <v>38</v>
      </c>
      <c r="I64" s="13" t="n">
        <v>42</v>
      </c>
      <c r="J64" s="13" t="n">
        <v>29</v>
      </c>
      <c r="K64" s="13" t="n">
        <v>71</v>
      </c>
      <c r="L64" s="13" t="n">
        <v>38</v>
      </c>
      <c r="M64" s="13" t="n">
        <v>4</v>
      </c>
      <c r="N64" s="13" t="n">
        <v>4</v>
      </c>
      <c r="O64" s="13" t="n">
        <v>86</v>
      </c>
      <c r="P64" s="13" t="n">
        <v>3</v>
      </c>
      <c r="Q64" s="13" t="n">
        <v>52.6</v>
      </c>
      <c r="R64" s="13" t="n">
        <v>49.4</v>
      </c>
      <c r="S64" s="13" t="n">
        <v>39.7</v>
      </c>
      <c r="T64" s="13" t="n">
        <v>89.09999999999999</v>
      </c>
      <c r="U64" s="13" t="n">
        <v>697</v>
      </c>
      <c r="V64" s="13" t="n">
        <v>1448</v>
      </c>
      <c r="W64" s="13" t="n">
        <v>1.11</v>
      </c>
      <c r="X64" s="13" t="n">
        <v>0.76</v>
      </c>
      <c r="Y64" s="13" t="n">
        <v>1.87</v>
      </c>
      <c r="Z64" s="13" t="n">
        <v>1</v>
      </c>
      <c r="AA64" s="13" t="n">
        <v>1.76</v>
      </c>
      <c r="AB64" s="13" t="n">
        <v>1.38</v>
      </c>
      <c r="AC64" s="13" t="n">
        <v>1.04</v>
      </c>
      <c r="AD64" s="13" t="n">
        <v>2.43</v>
      </c>
      <c r="AE64" s="13" t="n">
        <v>1.3</v>
      </c>
      <c r="AF64" s="13" t="n">
        <v>2.35</v>
      </c>
      <c r="AN64">
        <f>IFERROR(VLOOKUP(RIGHT(B62,LEN(B62)-11),Helpers!$B$4:$C$36,2,0),"")</f>
        <v/>
      </c>
    </row>
    <row r="65">
      <c r="A65" s="3" t="inlineStr">
        <is>
          <t>Newcastle Utd</t>
        </is>
      </c>
      <c r="B65" s="13" t="n">
        <v>24</v>
      </c>
      <c r="C65" s="13" t="n">
        <v>27.4</v>
      </c>
      <c r="D65" s="13" t="n">
        <v>51.3</v>
      </c>
      <c r="E65" s="13" t="n">
        <v>38</v>
      </c>
      <c r="F65" s="13" t="n">
        <v>418</v>
      </c>
      <c r="G65" s="38" t="n">
        <v>3420</v>
      </c>
      <c r="H65" s="13" t="n">
        <v>38</v>
      </c>
      <c r="I65" s="13" t="n">
        <v>66</v>
      </c>
      <c r="J65" s="13" t="n">
        <v>50</v>
      </c>
      <c r="K65" s="13" t="n">
        <v>116</v>
      </c>
      <c r="L65" s="13" t="n">
        <v>61</v>
      </c>
      <c r="M65" s="13" t="n">
        <v>5</v>
      </c>
      <c r="N65" s="13" t="n">
        <v>6</v>
      </c>
      <c r="O65" s="13" t="n">
        <v>68</v>
      </c>
      <c r="P65" s="13" t="n">
        <v>1</v>
      </c>
      <c r="Q65" s="13" t="n">
        <v>63.8</v>
      </c>
      <c r="R65" s="13" t="n">
        <v>59.5</v>
      </c>
      <c r="S65" s="13" t="n">
        <v>46</v>
      </c>
      <c r="T65" s="13" t="n">
        <v>105.5</v>
      </c>
      <c r="U65" s="13" t="n">
        <v>759</v>
      </c>
      <c r="V65" s="13" t="n">
        <v>1595</v>
      </c>
      <c r="W65" s="13" t="n">
        <v>1.74</v>
      </c>
      <c r="X65" s="13" t="n">
        <v>1.32</v>
      </c>
      <c r="Y65" s="13" t="n">
        <v>3.05</v>
      </c>
      <c r="Z65" s="13" t="n">
        <v>1.61</v>
      </c>
      <c r="AA65" s="13" t="n">
        <v>2.92</v>
      </c>
      <c r="AB65" s="13" t="n">
        <v>1.68</v>
      </c>
      <c r="AC65" s="13" t="n">
        <v>1.21</v>
      </c>
      <c r="AD65" s="13" t="n">
        <v>2.89</v>
      </c>
      <c r="AE65" s="13" t="n">
        <v>1.57</v>
      </c>
      <c r="AF65" s="13" t="n">
        <v>2.78</v>
      </c>
      <c r="AM65">
        <f>C63</f>
        <v/>
      </c>
      <c r="AN65">
        <f>IFERROR(VLOOKUP(RIGHT(B63,LEN(B63)-11),Helpers!$B$4:$C$36,2,0),"")</f>
        <v/>
      </c>
      <c r="AO65">
        <f>IF(IF(COUNTIF($AW$5:$AW$100,AW65)&gt;1,TRUE,FALSE),"T"&amp;AW65,AW65)</f>
        <v/>
      </c>
      <c r="AP65">
        <f>IF(IF(COUNTIF($AX$5:$AX$100,AX65)&gt;1,TRUE,FALSE),"T"&amp;AX65,AX65)</f>
        <v/>
      </c>
      <c r="AQ65">
        <f>IF(IF(COUNTIF($AY$5:$AY$100,AY65)&gt;1,TRUE,FALSE),"T"&amp;AY65,AY65)</f>
        <v/>
      </c>
      <c r="AR65">
        <f>IF(IF(COUNTIF($AZ$5:$AZ$100,AZ65)&gt;1,TRUE,FALSE),"T"&amp;AZ65,AZ65)</f>
        <v/>
      </c>
      <c r="AT65" s="27">
        <f>IFERROR(I63/C63,"")</f>
        <v/>
      </c>
      <c r="AW65">
        <f>RANK(G63,(G$3,G$8,G$13,G$18,G$23,G$28,G$33,G$38,G$43,G$48,G$53,G$58,G$63,G$68,G$73,G$78,G$83,G$88,G$93,G$98))</f>
        <v/>
      </c>
      <c r="AX65">
        <f>RANK(H63,(H$3,H$8,H$13,H$18,H$23,H$28,H$33,H$38,H$43,H$48,H$53,H$58,H$63,H$68,H$73,H$78,H$83,H$88,H$93,H$98),1)</f>
        <v/>
      </c>
      <c r="AY65">
        <f>RANK(I63,(I$3,I$8,I$13,I$18,I$23,I$28,I$33,I$38,I$43,I$48,I$53,I$58,I$63,I$68,I$73,I$78,I$83,I$88,I$93,I$98),0)</f>
        <v/>
      </c>
      <c r="AZ65">
        <f>RANK(AT65,(AT$5,AT$10,AT$15,AT$20,AT$25,AT$30,AT$35,AT$40,AT$45,AT$50,AT$55,AT$60,AT$65,AT$70,AT$75,AT$80,AT$85,AT$90,AT$95,AT$100),0)</f>
        <v/>
      </c>
    </row>
    <row r="66">
      <c r="A66" s="3" t="inlineStr">
        <is>
          <t>Nott'ham Forest</t>
        </is>
      </c>
      <c r="B66" s="13" t="n">
        <v>23</v>
      </c>
      <c r="C66" s="13" t="n">
        <v>26.1</v>
      </c>
      <c r="D66" s="13" t="n">
        <v>41.2</v>
      </c>
      <c r="E66" s="13" t="n">
        <v>38</v>
      </c>
      <c r="F66" s="13" t="n">
        <v>418</v>
      </c>
      <c r="G66" s="38" t="n">
        <v>3420</v>
      </c>
      <c r="H66" s="13" t="n">
        <v>38</v>
      </c>
      <c r="I66" s="13" t="n">
        <v>57</v>
      </c>
      <c r="J66" s="13" t="n">
        <v>42</v>
      </c>
      <c r="K66" s="13" t="n">
        <v>99</v>
      </c>
      <c r="L66" s="13" t="n">
        <v>54</v>
      </c>
      <c r="M66" s="13" t="n">
        <v>3</v>
      </c>
      <c r="N66" s="13" t="n">
        <v>3</v>
      </c>
      <c r="O66" s="13" t="n">
        <v>90</v>
      </c>
      <c r="P66" s="13" t="n">
        <v>2</v>
      </c>
      <c r="Q66" s="13" t="n">
        <v>45.5</v>
      </c>
      <c r="R66" s="13" t="n">
        <v>43.2</v>
      </c>
      <c r="S66" s="13" t="n">
        <v>33</v>
      </c>
      <c r="T66" s="13" t="n">
        <v>76.2</v>
      </c>
      <c r="U66" s="13" t="n">
        <v>633</v>
      </c>
      <c r="V66" s="13" t="n">
        <v>1125</v>
      </c>
      <c r="W66" s="13" t="n">
        <v>1.5</v>
      </c>
      <c r="X66" s="13" t="n">
        <v>1.11</v>
      </c>
      <c r="Y66" s="13" t="n">
        <v>2.61</v>
      </c>
      <c r="Z66" s="13" t="n">
        <v>1.42</v>
      </c>
      <c r="AA66" s="13" t="n">
        <v>2.53</v>
      </c>
      <c r="AB66" s="13" t="n">
        <v>1.2</v>
      </c>
      <c r="AC66" s="13" t="n">
        <v>0.87</v>
      </c>
      <c r="AD66" s="13" t="n">
        <v>2.07</v>
      </c>
      <c r="AE66" s="13" t="n">
        <v>1.14</v>
      </c>
      <c r="AF66" s="13" t="n">
        <v>2</v>
      </c>
      <c r="AN66">
        <f>IFERROR(VLOOKUP(RIGHT(B64,LEN(B64)-11),Helpers!$B$4:$C$36,2,0),"")</f>
        <v/>
      </c>
    </row>
    <row r="67" ht="18" customHeight="1" s="43">
      <c r="A67" s="3" t="inlineStr">
        <is>
          <t>Southampton</t>
        </is>
      </c>
      <c r="B67" s="13" t="n">
        <v>36</v>
      </c>
      <c r="C67" s="13" t="n">
        <v>25.2</v>
      </c>
      <c r="D67" s="13" t="n">
        <v>48.5</v>
      </c>
      <c r="E67" s="13" t="n">
        <v>38</v>
      </c>
      <c r="F67" s="13" t="n">
        <v>418</v>
      </c>
      <c r="G67" s="38" t="n">
        <v>3420</v>
      </c>
      <c r="H67" s="13" t="n">
        <v>38</v>
      </c>
      <c r="I67" s="13" t="n">
        <v>25</v>
      </c>
      <c r="J67" s="13" t="n">
        <v>16</v>
      </c>
      <c r="K67" s="13" t="n">
        <v>41</v>
      </c>
      <c r="L67" s="13" t="n">
        <v>25</v>
      </c>
      <c r="M67" s="13" t="n">
        <v>0</v>
      </c>
      <c r="N67" s="13" t="n">
        <v>2</v>
      </c>
      <c r="O67" s="13" t="n">
        <v>89</v>
      </c>
      <c r="P67" s="13" t="n">
        <v>3</v>
      </c>
      <c r="Q67" s="13" t="n">
        <v>32.7</v>
      </c>
      <c r="R67" s="13" t="n">
        <v>30.9</v>
      </c>
      <c r="S67" s="13" t="n">
        <v>24.8</v>
      </c>
      <c r="T67" s="13" t="n">
        <v>55.8</v>
      </c>
      <c r="U67" s="13" t="n">
        <v>640</v>
      </c>
      <c r="V67" s="13" t="n">
        <v>1127</v>
      </c>
      <c r="W67" s="13" t="n">
        <v>0.66</v>
      </c>
      <c r="X67" s="13" t="n">
        <v>0.42</v>
      </c>
      <c r="Y67" s="13" t="n">
        <v>1.08</v>
      </c>
      <c r="Z67" s="13" t="n">
        <v>0.66</v>
      </c>
      <c r="AA67" s="13" t="n">
        <v>1.08</v>
      </c>
      <c r="AB67" s="13" t="n">
        <v>0.86</v>
      </c>
      <c r="AC67" s="13" t="n">
        <v>0.65</v>
      </c>
      <c r="AD67" s="13" t="n">
        <v>1.51</v>
      </c>
      <c r="AE67" s="13" t="n">
        <v>0.8100000000000001</v>
      </c>
      <c r="AF67" s="13" t="n">
        <v>1.47</v>
      </c>
      <c r="AN67">
        <f>IFERROR(VLOOKUP(RIGHT(B65,LEN(B65)-11),Helpers!$B$4:$C$36,2,0),"")</f>
        <v/>
      </c>
    </row>
    <row r="68" ht="17.1" customHeight="1" s="43">
      <c r="A68" s="3" t="inlineStr">
        <is>
          <t>Tottenham</t>
        </is>
      </c>
      <c r="B68" s="13" t="n">
        <v>31</v>
      </c>
      <c r="C68" s="13" t="n">
        <v>25</v>
      </c>
      <c r="D68" s="13" t="n">
        <v>54.7</v>
      </c>
      <c r="E68" s="13" t="n">
        <v>38</v>
      </c>
      <c r="F68" s="13" t="n">
        <v>418</v>
      </c>
      <c r="G68" s="38" t="n">
        <v>3420</v>
      </c>
      <c r="H68" s="13" t="n">
        <v>38</v>
      </c>
      <c r="I68" s="13" t="n">
        <v>61</v>
      </c>
      <c r="J68" s="13" t="n">
        <v>47</v>
      </c>
      <c r="K68" s="13" t="n">
        <v>108</v>
      </c>
      <c r="L68" s="13" t="n">
        <v>58</v>
      </c>
      <c r="M68" s="13" t="n">
        <v>3</v>
      </c>
      <c r="N68" s="13" t="n">
        <v>4</v>
      </c>
      <c r="O68" s="13" t="n">
        <v>72</v>
      </c>
      <c r="P68" s="13" t="n">
        <v>1</v>
      </c>
      <c r="Q68" s="13" t="n">
        <v>58.8</v>
      </c>
      <c r="R68" s="13" t="n">
        <v>55.7</v>
      </c>
      <c r="S68" s="13" t="n">
        <v>44.4</v>
      </c>
      <c r="T68" s="13" t="n">
        <v>100.1</v>
      </c>
      <c r="U68" s="13" t="n">
        <v>840</v>
      </c>
      <c r="V68" s="13" t="n">
        <v>1593</v>
      </c>
      <c r="W68" s="13" t="n">
        <v>1.61</v>
      </c>
      <c r="X68" s="13" t="n">
        <v>1.24</v>
      </c>
      <c r="Y68" s="13" t="n">
        <v>2.84</v>
      </c>
      <c r="Z68" s="13" t="n">
        <v>1.53</v>
      </c>
      <c r="AA68" s="13" t="n">
        <v>2.76</v>
      </c>
      <c r="AB68" s="13" t="n">
        <v>1.55</v>
      </c>
      <c r="AC68" s="13" t="n">
        <v>1.17</v>
      </c>
      <c r="AD68" s="13" t="n">
        <v>2.72</v>
      </c>
      <c r="AE68" s="13" t="n">
        <v>1.47</v>
      </c>
      <c r="AF68" s="13" t="n">
        <v>2.63</v>
      </c>
      <c r="AL68">
        <f>AN70</f>
        <v/>
      </c>
      <c r="AN68">
        <f>IFERROR(VLOOKUP(RIGHT(B66,LEN(B66)-11),Helpers!$B$4:$C$36,2,0),"")</f>
        <v/>
      </c>
    </row>
    <row r="69" ht="17.1" customHeight="1" s="43">
      <c r="A69" s="3" t="inlineStr">
        <is>
          <t>West Ham</t>
        </is>
      </c>
      <c r="B69" s="13" t="n">
        <v>27</v>
      </c>
      <c r="C69" s="13" t="n">
        <v>28.1</v>
      </c>
      <c r="D69" s="13" t="n">
        <v>48.4</v>
      </c>
      <c r="E69" s="13" t="n">
        <v>38</v>
      </c>
      <c r="F69" s="13" t="n">
        <v>418</v>
      </c>
      <c r="G69" s="38" t="n">
        <v>3420</v>
      </c>
      <c r="H69" s="13" t="n">
        <v>38</v>
      </c>
      <c r="I69" s="13" t="n">
        <v>43</v>
      </c>
      <c r="J69" s="13" t="n">
        <v>29</v>
      </c>
      <c r="K69" s="13" t="n">
        <v>72</v>
      </c>
      <c r="L69" s="13" t="n">
        <v>40</v>
      </c>
      <c r="M69" s="13" t="n">
        <v>3</v>
      </c>
      <c r="N69" s="13" t="n">
        <v>3</v>
      </c>
      <c r="O69" s="13" t="n">
        <v>82</v>
      </c>
      <c r="P69" s="13" t="n">
        <v>3</v>
      </c>
      <c r="Q69" s="13" t="n">
        <v>47</v>
      </c>
      <c r="R69" s="13" t="n">
        <v>44.7</v>
      </c>
      <c r="S69" s="13" t="n">
        <v>33.9</v>
      </c>
      <c r="T69" s="13" t="n">
        <v>78.59999999999999</v>
      </c>
      <c r="U69" s="13" t="n">
        <v>632</v>
      </c>
      <c r="V69" s="13" t="n">
        <v>1222</v>
      </c>
      <c r="W69" s="13" t="n">
        <v>1.13</v>
      </c>
      <c r="X69" s="13" t="n">
        <v>0.76</v>
      </c>
      <c r="Y69" s="13" t="n">
        <v>1.89</v>
      </c>
      <c r="Z69" s="13" t="n">
        <v>1.05</v>
      </c>
      <c r="AA69" s="13" t="n">
        <v>1.82</v>
      </c>
      <c r="AB69" s="13" t="n">
        <v>1.24</v>
      </c>
      <c r="AC69" s="13" t="n">
        <v>0.89</v>
      </c>
      <c r="AD69" s="13" t="n">
        <v>2.13</v>
      </c>
      <c r="AE69" s="13" t="n">
        <v>1.18</v>
      </c>
      <c r="AF69" s="13" t="n">
        <v>2.07</v>
      </c>
      <c r="AN69">
        <f>IFERROR(VLOOKUP(RIGHT(B67,LEN(B67)-11),Helpers!$B$4:$C$36,2,0),"")</f>
        <v/>
      </c>
    </row>
    <row r="70">
      <c r="A70" s="3" t="inlineStr">
        <is>
          <t>Wolves</t>
        </is>
      </c>
      <c r="B70" s="13" t="n">
        <v>32</v>
      </c>
      <c r="C70" s="13" t="n">
        <v>26.9</v>
      </c>
      <c r="D70" s="13" t="n">
        <v>48.1</v>
      </c>
      <c r="E70" s="13" t="n">
        <v>38</v>
      </c>
      <c r="F70" s="13" t="n">
        <v>418</v>
      </c>
      <c r="G70" s="38" t="n">
        <v>3420</v>
      </c>
      <c r="H70" s="13" t="n">
        <v>38</v>
      </c>
      <c r="I70" s="13" t="n">
        <v>53</v>
      </c>
      <c r="J70" s="13" t="n">
        <v>42</v>
      </c>
      <c r="K70" s="13" t="n">
        <v>95</v>
      </c>
      <c r="L70" s="13" t="n">
        <v>53</v>
      </c>
      <c r="M70" s="13" t="n">
        <v>0</v>
      </c>
      <c r="N70" s="13" t="n">
        <v>0</v>
      </c>
      <c r="O70" s="13" t="n">
        <v>79</v>
      </c>
      <c r="P70" s="13" t="n">
        <v>2</v>
      </c>
      <c r="Q70" s="13" t="n">
        <v>43.7</v>
      </c>
      <c r="R70" s="13" t="n">
        <v>43.7</v>
      </c>
      <c r="S70" s="13" t="n">
        <v>35.4</v>
      </c>
      <c r="T70" s="13" t="n">
        <v>79.09999999999999</v>
      </c>
      <c r="U70" s="13" t="n">
        <v>607</v>
      </c>
      <c r="V70" s="13" t="n">
        <v>1185</v>
      </c>
      <c r="W70" s="13" t="n">
        <v>1.39</v>
      </c>
      <c r="X70" s="13" t="n">
        <v>1.11</v>
      </c>
      <c r="Y70" s="13" t="n">
        <v>2.5</v>
      </c>
      <c r="Z70" s="13" t="n">
        <v>1.39</v>
      </c>
      <c r="AA70" s="13" t="n">
        <v>2.5</v>
      </c>
      <c r="AB70" s="13" t="n">
        <v>1.15</v>
      </c>
      <c r="AC70" s="13" t="n">
        <v>0.93</v>
      </c>
      <c r="AD70" s="13" t="n">
        <v>2.08</v>
      </c>
      <c r="AE70" s="13" t="n">
        <v>1.15</v>
      </c>
      <c r="AF70" s="13" t="n">
        <v>2.08</v>
      </c>
      <c r="AM70">
        <f>C68</f>
        <v/>
      </c>
      <c r="AN70">
        <f>IFERROR(VLOOKUP(RIGHT(B68,LEN(B68)-11),Helpers!$B$4:$C$36,2,0),"")</f>
        <v/>
      </c>
      <c r="AO70">
        <f>IF(IF(COUNTIF($AW$5:$AW$100,AW70)&gt;1,TRUE,FALSE),"T"&amp;AW70,AW70)</f>
        <v/>
      </c>
      <c r="AP70">
        <f>IF(IF(COUNTIF($AX$5:$AX$100,AX70)&gt;1,TRUE,FALSE),"T"&amp;AX70,AX70)</f>
        <v/>
      </c>
      <c r="AQ70">
        <f>IF(IF(COUNTIF($AY$5:$AY$100,AY70)&gt;1,TRUE,FALSE),"T"&amp;AY70,AY70)</f>
        <v/>
      </c>
      <c r="AR70">
        <f>IF(IF(COUNTIF($AZ$5:$AZ$100,AZ70)&gt;1,TRUE,FALSE),"T"&amp;AZ70,AZ70)</f>
        <v/>
      </c>
      <c r="AT70" s="27">
        <f>IFERROR(I68/C68,"")</f>
        <v/>
      </c>
      <c r="AW70">
        <f>RANK(G68,(G$3,G$8,G$13,G$18,G$23,G$28,G$33,G$38,G$43,G$48,G$53,G$58,G$63,G$68,G$73,G$78,G$83,G$88,G$93,G$98))</f>
        <v/>
      </c>
      <c r="AX70">
        <f>RANK(H68,(H$3,H$8,H$13,H$18,H$23,H$28,H$33,H$38,H$43,H$48,H$53,H$58,H$63,H$68,H$73,H$78,H$83,H$88,H$93,H$98),1)</f>
        <v/>
      </c>
      <c r="AY70">
        <f>RANK(I68,(I$3,I$8,I$13,I$18,I$23,I$28,I$33,I$38,I$43,I$48,I$53,I$58,I$63,I$68,I$73,I$78,I$83,I$88,I$93,I$98),0)</f>
        <v/>
      </c>
      <c r="AZ70">
        <f>RANK(AT70,(AT$5,AT$10,AT$15,AT$20,AT$25,AT$30,AT$35,AT$40,AT$45,AT$50,AT$55,AT$60,AT$65,AT$70,AT$75,AT$80,AT$85,AT$90,AT$95,AT$100),0)</f>
        <v/>
      </c>
    </row>
    <row r="71" ht="15.75" customHeight="1" s="43">
      <c r="AN71">
        <f>IFERROR(VLOOKUP(RIGHT(B69,LEN(B69)-11),Helpers!$B$4:$C$36,2,0),"")</f>
        <v/>
      </c>
    </row>
    <row r="72">
      <c r="A72" s="45" t="inlineStr">
        <is>
          <t>Squad Standard Stats 2024-2025 Premier League Table</t>
        </is>
      </c>
      <c r="AN72">
        <f>IFERROR(VLOOKUP(RIGHT(B70,LEN(B70)-11),Helpers!$B$4:$C$36,2,0),"")</f>
        <v/>
      </c>
    </row>
    <row r="73" ht="17.1" customHeight="1" s="43">
      <c r="A73" s="44" t="n"/>
      <c r="E73" s="44" t="inlineStr">
        <is>
          <t>Playing Time</t>
        </is>
      </c>
      <c r="I73" s="44" t="inlineStr">
        <is>
          <t>Performance</t>
        </is>
      </c>
      <c r="Q73" s="44" t="inlineStr">
        <is>
          <t>Expected</t>
        </is>
      </c>
      <c r="U73" s="44" t="inlineStr">
        <is>
          <t>Progression</t>
        </is>
      </c>
      <c r="W73" s="44" t="inlineStr">
        <is>
          <t>Per 90 Minutes</t>
        </is>
      </c>
      <c r="AL73">
        <f>AN75</f>
        <v/>
      </c>
      <c r="AN73">
        <f>IFERROR(VLOOKUP(RIGHT(B71,LEN(B71)-11),Helpers!$B$4:$C$36,2,0),"")</f>
        <v/>
      </c>
    </row>
    <row r="74" ht="17.1" customHeight="1" s="43">
      <c r="A74" s="44" t="inlineStr">
        <is>
          <t>Squad</t>
        </is>
      </c>
      <c r="B74" s="44" t="inlineStr">
        <is>
          <t># Pl</t>
        </is>
      </c>
      <c r="C74" s="44" t="inlineStr">
        <is>
          <t>Age</t>
        </is>
      </c>
      <c r="D74" s="44" t="inlineStr">
        <is>
          <t>Poss</t>
        </is>
      </c>
      <c r="E74" s="44" t="inlineStr">
        <is>
          <t>MP</t>
        </is>
      </c>
      <c r="F74" s="44" t="inlineStr">
        <is>
          <t>Starts</t>
        </is>
      </c>
      <c r="G74" s="44" t="inlineStr">
        <is>
          <t>Min</t>
        </is>
      </c>
      <c r="H74" s="44" t="inlineStr">
        <is>
          <t>90s</t>
        </is>
      </c>
      <c r="I74" s="44" t="inlineStr">
        <is>
          <t>Gls</t>
        </is>
      </c>
      <c r="J74" s="44" t="inlineStr">
        <is>
          <t>Ast</t>
        </is>
      </c>
      <c r="K74" s="44" t="inlineStr">
        <is>
          <t>G+A</t>
        </is>
      </c>
      <c r="L74" s="44" t="inlineStr">
        <is>
          <t>G-PK</t>
        </is>
      </c>
      <c r="M74" s="44" t="inlineStr">
        <is>
          <t>PK</t>
        </is>
      </c>
      <c r="N74" s="44" t="inlineStr">
        <is>
          <t>PKatt</t>
        </is>
      </c>
      <c r="O74" s="44" t="inlineStr">
        <is>
          <t>CrdY</t>
        </is>
      </c>
      <c r="P74" s="44" t="inlineStr">
        <is>
          <t>CrdR</t>
        </is>
      </c>
      <c r="Q74" s="44" t="inlineStr">
        <is>
          <t>xG</t>
        </is>
      </c>
      <c r="R74" s="44" t="inlineStr">
        <is>
          <t>npxG</t>
        </is>
      </c>
      <c r="S74" s="44" t="inlineStr">
        <is>
          <t>xAG</t>
        </is>
      </c>
      <c r="T74" s="44" t="inlineStr">
        <is>
          <t>npxG+xAG</t>
        </is>
      </c>
      <c r="U74" s="44" t="inlineStr">
        <is>
          <t>PrgC</t>
        </is>
      </c>
      <c r="V74" s="44" t="inlineStr">
        <is>
          <t>PrgP</t>
        </is>
      </c>
      <c r="W74" s="44" t="inlineStr">
        <is>
          <t>Gls</t>
        </is>
      </c>
      <c r="X74" s="44" t="inlineStr">
        <is>
          <t>Ast</t>
        </is>
      </c>
      <c r="Y74" s="44" t="inlineStr">
        <is>
          <t>G+A</t>
        </is>
      </c>
      <c r="Z74" s="44" t="inlineStr">
        <is>
          <t>G-PK</t>
        </is>
      </c>
      <c r="AA74" s="44" t="inlineStr">
        <is>
          <t>G+A-PK</t>
        </is>
      </c>
      <c r="AB74" s="44" t="inlineStr">
        <is>
          <t>xG</t>
        </is>
      </c>
      <c r="AC74" s="44" t="inlineStr">
        <is>
          <t>xAG</t>
        </is>
      </c>
      <c r="AD74" s="44" t="inlineStr">
        <is>
          <t>xG+xAG</t>
        </is>
      </c>
      <c r="AE74" s="44" t="inlineStr">
        <is>
          <t>npxG</t>
        </is>
      </c>
      <c r="AF74" s="44" t="inlineStr">
        <is>
          <t>npxG+xAG</t>
        </is>
      </c>
      <c r="AN74">
        <f>IFERROR(VLOOKUP(RIGHT(B72,LEN(B72)-11),Helpers!$B$4:$C$36,2,0),"")</f>
        <v/>
      </c>
    </row>
    <row r="75" ht="17.1" customHeight="1" s="43">
      <c r="A75" s="3" t="inlineStr">
        <is>
          <t>vs Arsenal</t>
        </is>
      </c>
      <c r="B75" s="13" t="n">
        <v>25</v>
      </c>
      <c r="C75" s="13" t="n">
        <v>26.1</v>
      </c>
      <c r="D75" s="13" t="n">
        <v>43.1</v>
      </c>
      <c r="E75" s="13" t="n">
        <v>38</v>
      </c>
      <c r="F75" s="13" t="n">
        <v>418</v>
      </c>
      <c r="G75" s="38" t="n">
        <v>3420</v>
      </c>
      <c r="H75" s="13" t="n">
        <v>38</v>
      </c>
      <c r="I75" s="13" t="n">
        <v>34</v>
      </c>
      <c r="J75" s="13" t="n">
        <v>24</v>
      </c>
      <c r="K75" s="13" t="n">
        <v>58</v>
      </c>
      <c r="L75" s="13" t="n">
        <v>31</v>
      </c>
      <c r="M75" s="13" t="n">
        <v>3</v>
      </c>
      <c r="N75" s="13" t="n">
        <v>3</v>
      </c>
      <c r="O75" s="13" t="n">
        <v>83</v>
      </c>
      <c r="P75" s="13" t="n">
        <v>2</v>
      </c>
      <c r="Q75" s="13" t="n">
        <v>34.4</v>
      </c>
      <c r="R75" s="13" t="n">
        <v>32</v>
      </c>
      <c r="S75" s="13" t="n">
        <v>24.5</v>
      </c>
      <c r="T75" s="13" t="n">
        <v>56.6</v>
      </c>
      <c r="U75" s="13" t="n">
        <v>618</v>
      </c>
      <c r="V75" s="13" t="n">
        <v>938</v>
      </c>
      <c r="W75" s="13" t="n">
        <v>0.89</v>
      </c>
      <c r="X75" s="13" t="n">
        <v>0.63</v>
      </c>
      <c r="Y75" s="13" t="n">
        <v>1.53</v>
      </c>
      <c r="Z75" s="13" t="n">
        <v>0.82</v>
      </c>
      <c r="AA75" s="13" t="n">
        <v>1.45</v>
      </c>
      <c r="AB75" s="13" t="n">
        <v>0.91</v>
      </c>
      <c r="AC75" s="13" t="n">
        <v>0.65</v>
      </c>
      <c r="AD75" s="13" t="n">
        <v>1.55</v>
      </c>
      <c r="AE75" s="13" t="n">
        <v>0.84</v>
      </c>
      <c r="AF75" s="13" t="n">
        <v>1.49</v>
      </c>
      <c r="AM75">
        <f>C73</f>
        <v/>
      </c>
      <c r="AN75">
        <f>IFERROR(VLOOKUP(RIGHT(B73,LEN(B73)-11),Helpers!$B$4:$C$36,2,0),"")</f>
        <v/>
      </c>
      <c r="AO75">
        <f>IF(IF(COUNTIF($AW$5:$AW$100,AW75)&gt;1,TRUE,FALSE),"T"&amp;AW75,AW75)</f>
        <v/>
      </c>
      <c r="AP75">
        <f>IF(IF(COUNTIF($AX$5:$AX$100,AX75)&gt;1,TRUE,FALSE),"T"&amp;AX75,AX75)</f>
        <v/>
      </c>
      <c r="AQ75">
        <f>IF(IF(COUNTIF($AY$5:$AY$100,AY75)&gt;1,TRUE,FALSE),"T"&amp;AY75,AY75)</f>
        <v/>
      </c>
      <c r="AR75">
        <f>IF(IF(COUNTIF($AZ$5:$AZ$100,AZ75)&gt;1,TRUE,FALSE),"T"&amp;AZ75,AZ75)</f>
        <v/>
      </c>
      <c r="AT75" s="27">
        <f>IFERROR(I73/C73,"")</f>
        <v/>
      </c>
      <c r="AW75">
        <f>RANK(G73,(G$3,G$8,G$13,G$18,G$23,G$28,G$33,G$38,G$43,G$48,G$53,G$58,G$63,G$68,G$73,G$78,G$83,G$88,G$93,G$98))</f>
        <v/>
      </c>
      <c r="AX75">
        <f>RANK(H73,(H$3,H$8,H$13,H$18,H$23,H$28,H$33,H$38,H$43,H$48,H$53,H$58,H$63,H$68,H$73,H$78,H$83,H$88,H$93,H$98),1)</f>
        <v/>
      </c>
      <c r="AY75">
        <f>RANK(I73,(I$3,I$8,I$13,I$18,I$23,I$28,I$33,I$38,I$43,I$48,I$53,I$58,I$63,I$68,I$73,I$78,I$83,I$88,I$93,I$98),0)</f>
        <v/>
      </c>
      <c r="AZ75">
        <f>RANK(AT75,(AT$5,AT$10,AT$15,AT$20,AT$25,AT$30,AT$35,AT$40,AT$45,AT$50,AT$55,AT$60,AT$65,AT$70,AT$75,AT$80,AT$85,AT$90,AT$95,AT$100),0)</f>
        <v/>
      </c>
    </row>
    <row r="76">
      <c r="A76" s="3" t="inlineStr">
        <is>
          <t>vs Aston Villa</t>
        </is>
      </c>
      <c r="B76" s="13" t="n">
        <v>28</v>
      </c>
      <c r="C76" s="13" t="n">
        <v>26.3</v>
      </c>
      <c r="D76" s="13" t="n">
        <v>49.5</v>
      </c>
      <c r="E76" s="13" t="n">
        <v>38</v>
      </c>
      <c r="F76" s="13" t="n">
        <v>418</v>
      </c>
      <c r="G76" s="38" t="n">
        <v>3420</v>
      </c>
      <c r="H76" s="13" t="n">
        <v>38</v>
      </c>
      <c r="I76" s="13" t="n">
        <v>51</v>
      </c>
      <c r="J76" s="13" t="n">
        <v>36</v>
      </c>
      <c r="K76" s="13" t="n">
        <v>87</v>
      </c>
      <c r="L76" s="13" t="n">
        <v>49</v>
      </c>
      <c r="M76" s="13" t="n">
        <v>2</v>
      </c>
      <c r="N76" s="13" t="n">
        <v>3</v>
      </c>
      <c r="O76" s="13" t="n">
        <v>104</v>
      </c>
      <c r="P76" s="13" t="n">
        <v>2</v>
      </c>
      <c r="Q76" s="13" t="n">
        <v>50.1</v>
      </c>
      <c r="R76" s="13" t="n">
        <v>47.8</v>
      </c>
      <c r="S76" s="13" t="n">
        <v>36.4</v>
      </c>
      <c r="T76" s="13" t="n">
        <v>84.2</v>
      </c>
      <c r="U76" s="13" t="n">
        <v>688</v>
      </c>
      <c r="V76" s="13" t="n">
        <v>1315</v>
      </c>
      <c r="W76" s="13" t="n">
        <v>1.34</v>
      </c>
      <c r="X76" s="13" t="n">
        <v>0.95</v>
      </c>
      <c r="Y76" s="13" t="n">
        <v>2.29</v>
      </c>
      <c r="Z76" s="13" t="n">
        <v>1.29</v>
      </c>
      <c r="AA76" s="13" t="n">
        <v>2.24</v>
      </c>
      <c r="AB76" s="13" t="n">
        <v>1.32</v>
      </c>
      <c r="AC76" s="13" t="n">
        <v>0.96</v>
      </c>
      <c r="AD76" s="13" t="n">
        <v>2.28</v>
      </c>
      <c r="AE76" s="13" t="n">
        <v>1.26</v>
      </c>
      <c r="AF76" s="13" t="n">
        <v>2.22</v>
      </c>
      <c r="AN76">
        <f>IFERROR(VLOOKUP(RIGHT(B74,LEN(B74)-11),Helpers!$B$4:$C$36,2,0),"")</f>
        <v/>
      </c>
    </row>
    <row r="77">
      <c r="A77" s="3" t="inlineStr">
        <is>
          <t>vs Bournemouth</t>
        </is>
      </c>
      <c r="B77" s="13" t="n">
        <v>29</v>
      </c>
      <c r="C77" s="13" t="n">
        <v>26.4</v>
      </c>
      <c r="D77" s="13" t="n">
        <v>51.5</v>
      </c>
      <c r="E77" s="13" t="n">
        <v>38</v>
      </c>
      <c r="F77" s="13" t="n">
        <v>418</v>
      </c>
      <c r="G77" s="38" t="n">
        <v>3420</v>
      </c>
      <c r="H77" s="13" t="n">
        <v>38</v>
      </c>
      <c r="I77" s="13" t="n">
        <v>46</v>
      </c>
      <c r="J77" s="13" t="n">
        <v>36</v>
      </c>
      <c r="K77" s="13" t="n">
        <v>82</v>
      </c>
      <c r="L77" s="13" t="n">
        <v>42</v>
      </c>
      <c r="M77" s="13" t="n">
        <v>4</v>
      </c>
      <c r="N77" s="13" t="n">
        <v>4</v>
      </c>
      <c r="O77" s="13" t="n">
        <v>94</v>
      </c>
      <c r="P77" s="13" t="n">
        <v>5</v>
      </c>
      <c r="Q77" s="13" t="n">
        <v>48.5</v>
      </c>
      <c r="R77" s="13" t="n">
        <v>45.3</v>
      </c>
      <c r="S77" s="13" t="n">
        <v>36.5</v>
      </c>
      <c r="T77" s="13" t="n">
        <v>81.8</v>
      </c>
      <c r="U77" s="13" t="n">
        <v>685</v>
      </c>
      <c r="V77" s="13" t="n">
        <v>1295</v>
      </c>
      <c r="W77" s="13" t="n">
        <v>1.21</v>
      </c>
      <c r="X77" s="13" t="n">
        <v>0.95</v>
      </c>
      <c r="Y77" s="13" t="n">
        <v>2.16</v>
      </c>
      <c r="Z77" s="13" t="n">
        <v>1.11</v>
      </c>
      <c r="AA77" s="13" t="n">
        <v>2.05</v>
      </c>
      <c r="AB77" s="13" t="n">
        <v>1.28</v>
      </c>
      <c r="AC77" s="13" t="n">
        <v>0.96</v>
      </c>
      <c r="AD77" s="13" t="n">
        <v>2.24</v>
      </c>
      <c r="AE77" s="13" t="n">
        <v>1.19</v>
      </c>
      <c r="AF77" s="13" t="n">
        <v>2.15</v>
      </c>
      <c r="AN77">
        <f>IFERROR(VLOOKUP(RIGHT(B75,LEN(B75)-11),Helpers!$B$4:$C$36,2,0),"")</f>
        <v/>
      </c>
    </row>
    <row r="78">
      <c r="A78" s="3" t="inlineStr">
        <is>
          <t>vs Brentford</t>
        </is>
      </c>
      <c r="B78" s="13" t="n">
        <v>28</v>
      </c>
      <c r="C78" s="13" t="n">
        <v>26.4</v>
      </c>
      <c r="D78" s="13" t="n">
        <v>52.1</v>
      </c>
      <c r="E78" s="13" t="n">
        <v>38</v>
      </c>
      <c r="F78" s="13" t="n">
        <v>418</v>
      </c>
      <c r="G78" s="38" t="n">
        <v>3420</v>
      </c>
      <c r="H78" s="13" t="n">
        <v>38</v>
      </c>
      <c r="I78" s="13" t="n">
        <v>54</v>
      </c>
      <c r="J78" s="13" t="n">
        <v>42</v>
      </c>
      <c r="K78" s="13" t="n">
        <v>96</v>
      </c>
      <c r="L78" s="13" t="n">
        <v>53</v>
      </c>
      <c r="M78" s="13" t="n">
        <v>1</v>
      </c>
      <c r="N78" s="13" t="n">
        <v>1</v>
      </c>
      <c r="O78" s="13" t="n">
        <v>82</v>
      </c>
      <c r="P78" s="13" t="n">
        <v>3</v>
      </c>
      <c r="Q78" s="13" t="n">
        <v>55.4</v>
      </c>
      <c r="R78" s="13" t="n">
        <v>54.7</v>
      </c>
      <c r="S78" s="13" t="n">
        <v>43.3</v>
      </c>
      <c r="T78" s="13" t="n">
        <v>97.90000000000001</v>
      </c>
      <c r="U78" s="13" t="n">
        <v>835</v>
      </c>
      <c r="V78" s="13" t="n">
        <v>1562</v>
      </c>
      <c r="W78" s="13" t="n">
        <v>1.42</v>
      </c>
      <c r="X78" s="13" t="n">
        <v>1.11</v>
      </c>
      <c r="Y78" s="13" t="n">
        <v>2.53</v>
      </c>
      <c r="Z78" s="13" t="n">
        <v>1.39</v>
      </c>
      <c r="AA78" s="13" t="n">
        <v>2.5</v>
      </c>
      <c r="AB78" s="13" t="n">
        <v>1.46</v>
      </c>
      <c r="AC78" s="13" t="n">
        <v>1.14</v>
      </c>
      <c r="AD78" s="13" t="n">
        <v>2.6</v>
      </c>
      <c r="AE78" s="13" t="n">
        <v>1.44</v>
      </c>
      <c r="AF78" s="13" t="n">
        <v>2.58</v>
      </c>
      <c r="AL78">
        <f>AN80</f>
        <v/>
      </c>
      <c r="AN78">
        <f>IFERROR(VLOOKUP(RIGHT(B76,LEN(B76)-11),Helpers!$B$4:$C$36,2,0),"")</f>
        <v/>
      </c>
    </row>
    <row r="79" ht="17.1" customHeight="1" s="43">
      <c r="A79" s="3" t="inlineStr">
        <is>
          <t>vs Brighton</t>
        </is>
      </c>
      <c r="B79" s="13" t="n">
        <v>32</v>
      </c>
      <c r="C79" s="13" t="n">
        <v>26.2</v>
      </c>
      <c r="D79" s="13" t="n">
        <v>47.7</v>
      </c>
      <c r="E79" s="13" t="n">
        <v>38</v>
      </c>
      <c r="F79" s="13" t="n">
        <v>418</v>
      </c>
      <c r="G79" s="38" t="n">
        <v>3420</v>
      </c>
      <c r="H79" s="13" t="n">
        <v>38</v>
      </c>
      <c r="I79" s="13" t="n">
        <v>57</v>
      </c>
      <c r="J79" s="13" t="n">
        <v>39</v>
      </c>
      <c r="K79" s="13" t="n">
        <v>96</v>
      </c>
      <c r="L79" s="13" t="n">
        <v>48</v>
      </c>
      <c r="M79" s="13" t="n">
        <v>9</v>
      </c>
      <c r="N79" s="13" t="n">
        <v>9</v>
      </c>
      <c r="O79" s="13" t="n">
        <v>93</v>
      </c>
      <c r="P79" s="13" t="n">
        <v>5</v>
      </c>
      <c r="Q79" s="13" t="n">
        <v>54.6</v>
      </c>
      <c r="R79" s="13" t="n">
        <v>47.7</v>
      </c>
      <c r="S79" s="13" t="n">
        <v>41.3</v>
      </c>
      <c r="T79" s="13" t="n">
        <v>88.90000000000001</v>
      </c>
      <c r="U79" s="13" t="n">
        <v>607</v>
      </c>
      <c r="V79" s="13" t="n">
        <v>1209</v>
      </c>
      <c r="W79" s="13" t="n">
        <v>1.5</v>
      </c>
      <c r="X79" s="13" t="n">
        <v>1.03</v>
      </c>
      <c r="Y79" s="13" t="n">
        <v>2.53</v>
      </c>
      <c r="Z79" s="13" t="n">
        <v>1.26</v>
      </c>
      <c r="AA79" s="13" t="n">
        <v>2.29</v>
      </c>
      <c r="AB79" s="13" t="n">
        <v>1.44</v>
      </c>
      <c r="AC79" s="13" t="n">
        <v>1.09</v>
      </c>
      <c r="AD79" s="13" t="n">
        <v>2.52</v>
      </c>
      <c r="AE79" s="13" t="n">
        <v>1.25</v>
      </c>
      <c r="AF79" s="13" t="n">
        <v>2.34</v>
      </c>
      <c r="AN79">
        <f>IFERROR(VLOOKUP(RIGHT(B77,LEN(B77)-11),Helpers!$B$4:$C$36,2,0),"")</f>
        <v/>
      </c>
    </row>
    <row r="80">
      <c r="A80" s="3" t="inlineStr">
        <is>
          <t>vs Chelsea</t>
        </is>
      </c>
      <c r="B80" s="13" t="n">
        <v>29</v>
      </c>
      <c r="C80" s="13" t="n">
        <v>26.5</v>
      </c>
      <c r="D80" s="13" t="n">
        <v>42.9</v>
      </c>
      <c r="E80" s="13" t="n">
        <v>38</v>
      </c>
      <c r="F80" s="13" t="n">
        <v>418</v>
      </c>
      <c r="G80" s="38" t="n">
        <v>3420</v>
      </c>
      <c r="H80" s="13" t="n">
        <v>38</v>
      </c>
      <c r="I80" s="13" t="n">
        <v>43</v>
      </c>
      <c r="J80" s="13" t="n">
        <v>33</v>
      </c>
      <c r="K80" s="13" t="n">
        <v>76</v>
      </c>
      <c r="L80" s="13" t="n">
        <v>38</v>
      </c>
      <c r="M80" s="13" t="n">
        <v>5</v>
      </c>
      <c r="N80" s="13" t="n">
        <v>6</v>
      </c>
      <c r="O80" s="13" t="n">
        <v>98</v>
      </c>
      <c r="P80" s="13" t="n">
        <v>2</v>
      </c>
      <c r="Q80" s="13" t="n">
        <v>47.3</v>
      </c>
      <c r="R80" s="13" t="n">
        <v>42.6</v>
      </c>
      <c r="S80" s="13" t="n">
        <v>35.3</v>
      </c>
      <c r="T80" s="13" t="n">
        <v>77.8</v>
      </c>
      <c r="U80" s="13" t="n">
        <v>600</v>
      </c>
      <c r="V80" s="13" t="n">
        <v>1206</v>
      </c>
      <c r="W80" s="13" t="n">
        <v>1.13</v>
      </c>
      <c r="X80" s="13" t="n">
        <v>0.87</v>
      </c>
      <c r="Y80" s="13" t="n">
        <v>2</v>
      </c>
      <c r="Z80" s="13" t="n">
        <v>1</v>
      </c>
      <c r="AA80" s="13" t="n">
        <v>1.87</v>
      </c>
      <c r="AB80" s="13" t="n">
        <v>1.24</v>
      </c>
      <c r="AC80" s="13" t="n">
        <v>0.93</v>
      </c>
      <c r="AD80" s="13" t="n">
        <v>2.17</v>
      </c>
      <c r="AE80" s="13" t="n">
        <v>1.12</v>
      </c>
      <c r="AF80" s="13" t="n">
        <v>2.05</v>
      </c>
      <c r="AM80">
        <f>C78</f>
        <v/>
      </c>
      <c r="AN80">
        <f>IFERROR(VLOOKUP(RIGHT(B78,LEN(B78)-11),Helpers!$B$4:$C$36,2,0),"")</f>
        <v/>
      </c>
      <c r="AO80">
        <f>IF(IF(COUNTIF($AW$5:$AW$100,AW80)&gt;1,TRUE,FALSE),"T"&amp;AW80,AW80)</f>
        <v/>
      </c>
      <c r="AP80">
        <f>IF(IF(COUNTIF($AX$5:$AX$100,AX80)&gt;1,TRUE,FALSE),"T"&amp;AX80,AX80)</f>
        <v/>
      </c>
      <c r="AQ80">
        <f>IF(IF(COUNTIF($AY$5:$AY$100,AY80)&gt;1,TRUE,FALSE),"T"&amp;AY80,AY80)</f>
        <v/>
      </c>
      <c r="AR80">
        <f>IF(IF(COUNTIF($AZ$5:$AZ$100,AZ80)&gt;1,TRUE,FALSE),"T"&amp;AZ80,AZ80)</f>
        <v/>
      </c>
      <c r="AT80" s="27">
        <f>IFERROR(I78/C78,"")</f>
        <v/>
      </c>
      <c r="AW80">
        <f>RANK(G78,(G$3,G$8,G$13,G$18,G$23,G$28,G$33,G$38,G$43,G$48,G$53,G$58,G$63,G$68,G$73,G$78,G$83,G$88,G$93,G$98))</f>
        <v/>
      </c>
      <c r="AX80">
        <f>RANK(H78,(H$3,H$8,H$13,H$18,H$23,H$28,H$33,H$38,H$43,H$48,H$53,H$58,H$63,H$68,H$73,H$78,H$83,H$88,H$93,H$98),1)</f>
        <v/>
      </c>
      <c r="AY80">
        <f>RANK(I78,(I$3,I$8,I$13,I$18,I$23,I$28,I$33,I$38,I$43,I$48,I$53,I$58,I$63,I$68,I$73,I$78,I$83,I$88,I$93,I$98),0)</f>
        <v/>
      </c>
      <c r="AZ80">
        <f>RANK(AT80,(AT$5,AT$10,AT$15,AT$20,AT$25,AT$30,AT$35,AT$40,AT$45,AT$50,AT$55,AT$60,AT$65,AT$70,AT$75,AT$80,AT$85,AT$90,AT$95,AT$100),0)</f>
        <v/>
      </c>
    </row>
    <row r="81" ht="17.1" customHeight="1" s="43">
      <c r="A81" s="3" t="inlineStr">
        <is>
          <t>vs Crystal Palace</t>
        </is>
      </c>
      <c r="B81" s="13" t="n">
        <v>29</v>
      </c>
      <c r="C81" s="13" t="n">
        <v>26.1</v>
      </c>
      <c r="D81" s="13" t="n">
        <v>57.2</v>
      </c>
      <c r="E81" s="13" t="n">
        <v>38</v>
      </c>
      <c r="F81" s="13" t="n">
        <v>418</v>
      </c>
      <c r="G81" s="38" t="n">
        <v>3420</v>
      </c>
      <c r="H81" s="13" t="n">
        <v>38</v>
      </c>
      <c r="I81" s="13" t="n">
        <v>48</v>
      </c>
      <c r="J81" s="13" t="n">
        <v>39</v>
      </c>
      <c r="K81" s="13" t="n">
        <v>87</v>
      </c>
      <c r="L81" s="13" t="n">
        <v>47</v>
      </c>
      <c r="M81" s="13" t="n">
        <v>1</v>
      </c>
      <c r="N81" s="13" t="n">
        <v>2</v>
      </c>
      <c r="O81" s="13" t="n">
        <v>84</v>
      </c>
      <c r="P81" s="13" t="n">
        <v>4</v>
      </c>
      <c r="Q81" s="13" t="n">
        <v>49.1</v>
      </c>
      <c r="R81" s="13" t="n">
        <v>47.5</v>
      </c>
      <c r="S81" s="13" t="n">
        <v>38.5</v>
      </c>
      <c r="T81" s="13" t="n">
        <v>86</v>
      </c>
      <c r="U81" s="13" t="n">
        <v>686</v>
      </c>
      <c r="V81" s="13" t="n">
        <v>1578</v>
      </c>
      <c r="W81" s="13" t="n">
        <v>1.26</v>
      </c>
      <c r="X81" s="13" t="n">
        <v>1.03</v>
      </c>
      <c r="Y81" s="13" t="n">
        <v>2.29</v>
      </c>
      <c r="Z81" s="13" t="n">
        <v>1.24</v>
      </c>
      <c r="AA81" s="13" t="n">
        <v>2.26</v>
      </c>
      <c r="AB81" s="13" t="n">
        <v>1.29</v>
      </c>
      <c r="AC81" s="13" t="n">
        <v>1.01</v>
      </c>
      <c r="AD81" s="13" t="n">
        <v>2.31</v>
      </c>
      <c r="AE81" s="13" t="n">
        <v>1.25</v>
      </c>
      <c r="AF81" s="13" t="n">
        <v>2.26</v>
      </c>
      <c r="AN81">
        <f>IFERROR(VLOOKUP(RIGHT(B79,LEN(B79)-11),Helpers!$B$4:$C$36,2,0),"")</f>
        <v/>
      </c>
    </row>
    <row r="82">
      <c r="A82" s="3" t="inlineStr">
        <is>
          <t>vs Everton</t>
        </is>
      </c>
      <c r="B82" s="13" t="n">
        <v>26</v>
      </c>
      <c r="C82" s="13" t="n">
        <v>26.2</v>
      </c>
      <c r="D82" s="13" t="n">
        <v>59.1</v>
      </c>
      <c r="E82" s="13" t="n">
        <v>38</v>
      </c>
      <c r="F82" s="13" t="n">
        <v>418</v>
      </c>
      <c r="G82" s="38" t="n">
        <v>3420</v>
      </c>
      <c r="H82" s="13" t="n">
        <v>38</v>
      </c>
      <c r="I82" s="13" t="n">
        <v>44</v>
      </c>
      <c r="J82" s="13" t="n">
        <v>35</v>
      </c>
      <c r="K82" s="13" t="n">
        <v>79</v>
      </c>
      <c r="L82" s="13" t="n">
        <v>44</v>
      </c>
      <c r="M82" s="13" t="n">
        <v>0</v>
      </c>
      <c r="N82" s="13" t="n">
        <v>2</v>
      </c>
      <c r="O82" s="13" t="n">
        <v>46</v>
      </c>
      <c r="P82" s="13" t="n">
        <v>2</v>
      </c>
      <c r="Q82" s="13" t="n">
        <v>46.2</v>
      </c>
      <c r="R82" s="13" t="n">
        <v>44.6</v>
      </c>
      <c r="S82" s="13" t="n">
        <v>34.6</v>
      </c>
      <c r="T82" s="13" t="n">
        <v>79.2</v>
      </c>
      <c r="U82" s="13" t="n">
        <v>724</v>
      </c>
      <c r="V82" s="13" t="n">
        <v>1627</v>
      </c>
      <c r="W82" s="13" t="n">
        <v>1.16</v>
      </c>
      <c r="X82" s="13" t="n">
        <v>0.92</v>
      </c>
      <c r="Y82" s="13" t="n">
        <v>2.08</v>
      </c>
      <c r="Z82" s="13" t="n">
        <v>1.16</v>
      </c>
      <c r="AA82" s="13" t="n">
        <v>2.08</v>
      </c>
      <c r="AB82" s="13" t="n">
        <v>1.22</v>
      </c>
      <c r="AC82" s="13" t="n">
        <v>0.91</v>
      </c>
      <c r="AD82" s="13" t="n">
        <v>2.13</v>
      </c>
      <c r="AE82" s="13" t="n">
        <v>1.17</v>
      </c>
      <c r="AF82" s="13" t="n">
        <v>2.08</v>
      </c>
      <c r="AN82">
        <f>IFERROR(VLOOKUP(RIGHT(B80,LEN(B80)-11),Helpers!$B$4:$C$36,2,0),"")</f>
        <v/>
      </c>
    </row>
    <row r="83">
      <c r="A83" s="3" t="inlineStr">
        <is>
          <t>vs Fulham</t>
        </is>
      </c>
      <c r="B83" s="13" t="n">
        <v>26</v>
      </c>
      <c r="C83" s="13" t="n">
        <v>26.3</v>
      </c>
      <c r="D83" s="13" t="n">
        <v>47.7</v>
      </c>
      <c r="E83" s="13" t="n">
        <v>38</v>
      </c>
      <c r="F83" s="13" t="n">
        <v>418</v>
      </c>
      <c r="G83" s="38" t="n">
        <v>3420</v>
      </c>
      <c r="H83" s="13" t="n">
        <v>38</v>
      </c>
      <c r="I83" s="13" t="n">
        <v>52</v>
      </c>
      <c r="J83" s="13" t="n">
        <v>40</v>
      </c>
      <c r="K83" s="13" t="n">
        <v>92</v>
      </c>
      <c r="L83" s="13" t="n">
        <v>49</v>
      </c>
      <c r="M83" s="13" t="n">
        <v>3</v>
      </c>
      <c r="N83" s="13" t="n">
        <v>4</v>
      </c>
      <c r="O83" s="13" t="n">
        <v>67</v>
      </c>
      <c r="P83" s="13" t="n">
        <v>3</v>
      </c>
      <c r="Q83" s="13" t="n">
        <v>47.2</v>
      </c>
      <c r="R83" s="13" t="n">
        <v>44.1</v>
      </c>
      <c r="S83" s="13" t="n">
        <v>34.4</v>
      </c>
      <c r="T83" s="13" t="n">
        <v>78.5</v>
      </c>
      <c r="U83" s="13" t="n">
        <v>654</v>
      </c>
      <c r="V83" s="13" t="n">
        <v>1396</v>
      </c>
      <c r="W83" s="13" t="n">
        <v>1.37</v>
      </c>
      <c r="X83" s="13" t="n">
        <v>1.05</v>
      </c>
      <c r="Y83" s="13" t="n">
        <v>2.42</v>
      </c>
      <c r="Z83" s="13" t="n">
        <v>1.29</v>
      </c>
      <c r="AA83" s="13" t="n">
        <v>2.34</v>
      </c>
      <c r="AB83" s="13" t="n">
        <v>1.24</v>
      </c>
      <c r="AC83" s="13" t="n">
        <v>0.91</v>
      </c>
      <c r="AD83" s="13" t="n">
        <v>2.15</v>
      </c>
      <c r="AE83" s="13" t="n">
        <v>1.16</v>
      </c>
      <c r="AF83" s="13" t="n">
        <v>2.06</v>
      </c>
      <c r="AL83">
        <f>AN85</f>
        <v/>
      </c>
      <c r="AN83">
        <f>IFERROR(VLOOKUP(RIGHT(B81,LEN(B81)-11),Helpers!$B$4:$C$36,2,0),"")</f>
        <v/>
      </c>
    </row>
    <row r="84">
      <c r="A84" s="3" t="inlineStr">
        <is>
          <t>vs Ipswich Town</t>
        </is>
      </c>
      <c r="B84" s="13" t="n">
        <v>32</v>
      </c>
      <c r="C84" s="13" t="n">
        <v>26.3</v>
      </c>
      <c r="D84" s="13" t="n">
        <v>59.4</v>
      </c>
      <c r="E84" s="13" t="n">
        <v>38</v>
      </c>
      <c r="F84" s="13" t="n">
        <v>418</v>
      </c>
      <c r="G84" s="38" t="n">
        <v>3420</v>
      </c>
      <c r="H84" s="13" t="n">
        <v>38</v>
      </c>
      <c r="I84" s="13" t="n">
        <v>80</v>
      </c>
      <c r="J84" s="13" t="n">
        <v>55</v>
      </c>
      <c r="K84" s="13" t="n">
        <v>135</v>
      </c>
      <c r="L84" s="13" t="n">
        <v>74</v>
      </c>
      <c r="M84" s="13" t="n">
        <v>6</v>
      </c>
      <c r="N84" s="13" t="n">
        <v>6</v>
      </c>
      <c r="O84" s="13" t="n">
        <v>65</v>
      </c>
      <c r="P84" s="13" t="n">
        <v>2</v>
      </c>
      <c r="Q84" s="13" t="n">
        <v>72.7</v>
      </c>
      <c r="R84" s="13" t="n">
        <v>68.3</v>
      </c>
      <c r="S84" s="13" t="n">
        <v>53.5</v>
      </c>
      <c r="T84" s="13" t="n">
        <v>121.8</v>
      </c>
      <c r="U84" s="13" t="n">
        <v>812</v>
      </c>
      <c r="V84" s="13" t="n">
        <v>1726</v>
      </c>
      <c r="W84" s="13" t="n">
        <v>2.11</v>
      </c>
      <c r="X84" s="13" t="n">
        <v>1.45</v>
      </c>
      <c r="Y84" s="13" t="n">
        <v>3.55</v>
      </c>
      <c r="Z84" s="13" t="n">
        <v>1.95</v>
      </c>
      <c r="AA84" s="13" t="n">
        <v>3.39</v>
      </c>
      <c r="AB84" s="13" t="n">
        <v>1.91</v>
      </c>
      <c r="AC84" s="13" t="n">
        <v>1.41</v>
      </c>
      <c r="AD84" s="13" t="n">
        <v>3.32</v>
      </c>
      <c r="AE84" s="13" t="n">
        <v>1.8</v>
      </c>
      <c r="AF84" s="13" t="n">
        <v>3.21</v>
      </c>
      <c r="AN84">
        <f>IFERROR(VLOOKUP(RIGHT(B82,LEN(B82)-11),Helpers!$B$4:$C$36,2,0),"")</f>
        <v/>
      </c>
    </row>
    <row r="85" ht="15.95" customHeight="1" s="43">
      <c r="A85" s="3" t="inlineStr">
        <is>
          <t>vs Leicester City</t>
        </is>
      </c>
      <c r="B85" s="13" t="n">
        <v>32</v>
      </c>
      <c r="C85" s="13" t="n">
        <v>26.3</v>
      </c>
      <c r="D85" s="13" t="n">
        <v>54.6</v>
      </c>
      <c r="E85" s="13" t="n">
        <v>38</v>
      </c>
      <c r="F85" s="13" t="n">
        <v>418</v>
      </c>
      <c r="G85" s="38" t="n">
        <v>3420</v>
      </c>
      <c r="H85" s="13" t="n">
        <v>38</v>
      </c>
      <c r="I85" s="13" t="n">
        <v>77</v>
      </c>
      <c r="J85" s="13" t="n">
        <v>57</v>
      </c>
      <c r="K85" s="13" t="n">
        <v>134</v>
      </c>
      <c r="L85" s="13" t="n">
        <v>74</v>
      </c>
      <c r="M85" s="13" t="n">
        <v>3</v>
      </c>
      <c r="N85" s="13" t="n">
        <v>4</v>
      </c>
      <c r="O85" s="13" t="n">
        <v>58</v>
      </c>
      <c r="P85" s="13" t="n">
        <v>2</v>
      </c>
      <c r="Q85" s="13" t="n">
        <v>71.90000000000001</v>
      </c>
      <c r="R85" s="13" t="n">
        <v>68.8</v>
      </c>
      <c r="S85" s="13" t="n">
        <v>52.2</v>
      </c>
      <c r="T85" s="13" t="n">
        <v>121</v>
      </c>
      <c r="U85" s="13" t="n">
        <v>735</v>
      </c>
      <c r="V85" s="13" t="n">
        <v>1755</v>
      </c>
      <c r="W85" s="13" t="n">
        <v>2.03</v>
      </c>
      <c r="X85" s="13" t="n">
        <v>1.5</v>
      </c>
      <c r="Y85" s="13" t="n">
        <v>3.53</v>
      </c>
      <c r="Z85" s="13" t="n">
        <v>1.95</v>
      </c>
      <c r="AA85" s="13" t="n">
        <v>3.45</v>
      </c>
      <c r="AB85" s="13" t="n">
        <v>1.89</v>
      </c>
      <c r="AC85" s="13" t="n">
        <v>1.37</v>
      </c>
      <c r="AD85" s="13" t="n">
        <v>3.27</v>
      </c>
      <c r="AE85" s="13" t="n">
        <v>1.81</v>
      </c>
      <c r="AF85" s="13" t="n">
        <v>3.19</v>
      </c>
      <c r="AM85">
        <f>C83</f>
        <v/>
      </c>
      <c r="AN85">
        <f>IFERROR(VLOOKUP(RIGHT(B83,LEN(B83)-11),Helpers!$B$4:$C$36,2,0),"")</f>
        <v/>
      </c>
      <c r="AO85">
        <f>IF(IF(COUNTIF($AW$5:$AW$100,AW85)&gt;1,TRUE,FALSE),"T"&amp;AW85,AW85)</f>
        <v/>
      </c>
      <c r="AP85">
        <f>IF(IF(COUNTIF($AX$5:$AX$100,AX85)&gt;1,TRUE,FALSE),"T"&amp;AX85,AX85)</f>
        <v/>
      </c>
      <c r="AQ85">
        <f>IF(IF(COUNTIF($AY$5:$AY$100,AY85)&gt;1,TRUE,FALSE),"T"&amp;AY85,AY85)</f>
        <v/>
      </c>
      <c r="AR85">
        <f>IF(IF(COUNTIF($AZ$5:$AZ$100,AZ85)&gt;1,TRUE,FALSE),"T"&amp;AZ85,AZ85)</f>
        <v/>
      </c>
      <c r="AT85" s="27">
        <f>IFERROR(I83/C83,"")</f>
        <v/>
      </c>
      <c r="AW85">
        <f>RANK(G83,(G$3,G$8,G$13,G$18,G$23,G$28,G$33,G$38,G$43,G$48,G$53,G$58,G$63,G$68,G$73,G$78,G$83,G$88,G$93,G$98))</f>
        <v/>
      </c>
      <c r="AX85">
        <f>RANK(H83,(H$3,H$8,H$13,H$18,H$23,H$28,H$33,H$38,H$43,H$48,H$53,H$58,H$63,H$68,H$73,H$78,H$83,H$88,H$93,H$98),1)</f>
        <v/>
      </c>
      <c r="AY85">
        <f>RANK(I83,(I$3,I$8,I$13,I$18,I$23,I$28,I$33,I$38,I$43,I$48,I$53,I$58,I$63,I$68,I$73,I$78,I$83,I$88,I$93,I$98),0)</f>
        <v/>
      </c>
      <c r="AZ85">
        <f>RANK(AT85,(AT$5,AT$10,AT$15,AT$20,AT$25,AT$30,AT$35,AT$40,AT$45,AT$50,AT$55,AT$60,AT$65,AT$70,AT$75,AT$80,AT$85,AT$90,AT$95,AT$100),0)</f>
        <v/>
      </c>
    </row>
    <row r="86">
      <c r="A86" s="3" t="inlineStr">
        <is>
          <t>vs Liverpool</t>
        </is>
      </c>
      <c r="B86" s="13" t="n">
        <v>24</v>
      </c>
      <c r="C86" s="13" t="n">
        <v>26.1</v>
      </c>
      <c r="D86" s="13" t="n">
        <v>42.3</v>
      </c>
      <c r="E86" s="13" t="n">
        <v>38</v>
      </c>
      <c r="F86" s="13" t="n">
        <v>418</v>
      </c>
      <c r="G86" s="38" t="n">
        <v>3420</v>
      </c>
      <c r="H86" s="13" t="n">
        <v>38</v>
      </c>
      <c r="I86" s="13" t="n">
        <v>39</v>
      </c>
      <c r="J86" s="13" t="n">
        <v>28</v>
      </c>
      <c r="K86" s="13" t="n">
        <v>67</v>
      </c>
      <c r="L86" s="13" t="n">
        <v>38</v>
      </c>
      <c r="M86" s="13" t="n">
        <v>1</v>
      </c>
      <c r="N86" s="13" t="n">
        <v>2</v>
      </c>
      <c r="O86" s="13" t="n">
        <v>84</v>
      </c>
      <c r="P86" s="13" t="n">
        <v>2</v>
      </c>
      <c r="Q86" s="13" t="n">
        <v>38.6</v>
      </c>
      <c r="R86" s="13" t="n">
        <v>36.9</v>
      </c>
      <c r="S86" s="13" t="n">
        <v>29.4</v>
      </c>
      <c r="T86" s="13" t="n">
        <v>66.2</v>
      </c>
      <c r="U86" s="13" t="n">
        <v>683</v>
      </c>
      <c r="V86" s="13" t="n">
        <v>1091</v>
      </c>
      <c r="W86" s="13" t="n">
        <v>1.03</v>
      </c>
      <c r="X86" s="13" t="n">
        <v>0.74</v>
      </c>
      <c r="Y86" s="13" t="n">
        <v>1.76</v>
      </c>
      <c r="Z86" s="13" t="n">
        <v>1</v>
      </c>
      <c r="AA86" s="13" t="n">
        <v>1.74</v>
      </c>
      <c r="AB86" s="13" t="n">
        <v>1.02</v>
      </c>
      <c r="AC86" s="13" t="n">
        <v>0.77</v>
      </c>
      <c r="AD86" s="13" t="n">
        <v>1.79</v>
      </c>
      <c r="AE86" s="13" t="n">
        <v>0.97</v>
      </c>
      <c r="AF86" s="13" t="n">
        <v>1.74</v>
      </c>
      <c r="AN86">
        <f>IFERROR(VLOOKUP(RIGHT(B84,LEN(B84)-11),Helpers!$B$4:$C$36,2,0),"")</f>
        <v/>
      </c>
    </row>
    <row r="87" ht="17.1" customHeight="1" s="43">
      <c r="A87" s="3" t="inlineStr">
        <is>
          <t>vs Manchester City</t>
        </is>
      </c>
      <c r="B87" s="13" t="n">
        <v>30</v>
      </c>
      <c r="C87" s="13" t="n">
        <v>26.2</v>
      </c>
      <c r="D87" s="13" t="n">
        <v>38.7</v>
      </c>
      <c r="E87" s="13" t="n">
        <v>38</v>
      </c>
      <c r="F87" s="13" t="n">
        <v>418</v>
      </c>
      <c r="G87" s="38" t="n">
        <v>3420</v>
      </c>
      <c r="H87" s="13" t="n">
        <v>38</v>
      </c>
      <c r="I87" s="13" t="n">
        <v>42</v>
      </c>
      <c r="J87" s="13" t="n">
        <v>32</v>
      </c>
      <c r="K87" s="13" t="n">
        <v>74</v>
      </c>
      <c r="L87" s="13" t="n">
        <v>38</v>
      </c>
      <c r="M87" s="13" t="n">
        <v>4</v>
      </c>
      <c r="N87" s="13" t="n">
        <v>4</v>
      </c>
      <c r="O87" s="13" t="n">
        <v>88</v>
      </c>
      <c r="P87" s="13" t="n">
        <v>2</v>
      </c>
      <c r="Q87" s="13" t="n">
        <v>47.7</v>
      </c>
      <c r="R87" s="13" t="n">
        <v>44.6</v>
      </c>
      <c r="S87" s="13" t="n">
        <v>37.2</v>
      </c>
      <c r="T87" s="13" t="n">
        <v>81.7</v>
      </c>
      <c r="U87" s="13" t="n">
        <v>546</v>
      </c>
      <c r="V87" s="13" t="n">
        <v>912</v>
      </c>
      <c r="W87" s="13" t="n">
        <v>1.11</v>
      </c>
      <c r="X87" s="13" t="n">
        <v>0.84</v>
      </c>
      <c r="Y87" s="13" t="n">
        <v>1.95</v>
      </c>
      <c r="Z87" s="13" t="n">
        <v>1</v>
      </c>
      <c r="AA87" s="13" t="n">
        <v>1.84</v>
      </c>
      <c r="AB87" s="13" t="n">
        <v>1.26</v>
      </c>
      <c r="AC87" s="13" t="n">
        <v>0.98</v>
      </c>
      <c r="AD87" s="13" t="n">
        <v>2.23</v>
      </c>
      <c r="AE87" s="13" t="n">
        <v>1.17</v>
      </c>
      <c r="AF87" s="13" t="n">
        <v>2.15</v>
      </c>
      <c r="AN87">
        <f>IFERROR(VLOOKUP(RIGHT(B85,LEN(B85)-11),Helpers!$B$4:$C$36,2,0),"")</f>
        <v/>
      </c>
    </row>
    <row r="88">
      <c r="A88" s="3" t="inlineStr">
        <is>
          <t>vs Manchester Utd</t>
        </is>
      </c>
      <c r="B88" s="13" t="n">
        <v>31</v>
      </c>
      <c r="C88" s="13" t="n">
        <v>26.4</v>
      </c>
      <c r="D88" s="13" t="n">
        <v>46.5</v>
      </c>
      <c r="E88" s="13" t="n">
        <v>38</v>
      </c>
      <c r="F88" s="13" t="n">
        <v>418</v>
      </c>
      <c r="G88" s="38" t="n">
        <v>3420</v>
      </c>
      <c r="H88" s="13" t="n">
        <v>38</v>
      </c>
      <c r="I88" s="13" t="n">
        <v>52</v>
      </c>
      <c r="J88" s="13" t="n">
        <v>36</v>
      </c>
      <c r="K88" s="13" t="n">
        <v>88</v>
      </c>
      <c r="L88" s="13" t="n">
        <v>49</v>
      </c>
      <c r="M88" s="13" t="n">
        <v>3</v>
      </c>
      <c r="N88" s="13" t="n">
        <v>4</v>
      </c>
      <c r="O88" s="13" t="n">
        <v>71</v>
      </c>
      <c r="P88" s="13" t="n">
        <v>3</v>
      </c>
      <c r="Q88" s="13" t="n">
        <v>53.8</v>
      </c>
      <c r="R88" s="13" t="n">
        <v>50.8</v>
      </c>
      <c r="S88" s="13" t="n">
        <v>38.4</v>
      </c>
      <c r="T88" s="13" t="n">
        <v>89.2</v>
      </c>
      <c r="U88" s="13" t="n">
        <v>672</v>
      </c>
      <c r="V88" s="13" t="n">
        <v>1184</v>
      </c>
      <c r="W88" s="13" t="n">
        <v>1.37</v>
      </c>
      <c r="X88" s="13" t="n">
        <v>0.95</v>
      </c>
      <c r="Y88" s="13" t="n">
        <v>2.32</v>
      </c>
      <c r="Z88" s="13" t="n">
        <v>1.29</v>
      </c>
      <c r="AA88" s="13" t="n">
        <v>2.24</v>
      </c>
      <c r="AB88" s="13" t="n">
        <v>1.42</v>
      </c>
      <c r="AC88" s="13" t="n">
        <v>1.01</v>
      </c>
      <c r="AD88" s="13" t="n">
        <v>2.43</v>
      </c>
      <c r="AE88" s="13" t="n">
        <v>1.34</v>
      </c>
      <c r="AF88" s="13" t="n">
        <v>2.35</v>
      </c>
      <c r="AL88">
        <f>AN90</f>
        <v/>
      </c>
      <c r="AN88">
        <f>IFERROR(VLOOKUP(RIGHT(B86,LEN(B86)-11),Helpers!$B$4:$C$36,2,0),"")</f>
        <v/>
      </c>
    </row>
    <row r="89" ht="18" customHeight="1" s="43">
      <c r="A89" s="3" t="inlineStr">
        <is>
          <t>vs Newcastle Utd</t>
        </is>
      </c>
      <c r="B89" s="13" t="n">
        <v>24</v>
      </c>
      <c r="C89" s="13" t="n">
        <v>26.3</v>
      </c>
      <c r="D89" s="13" t="n">
        <v>48.7</v>
      </c>
      <c r="E89" s="13" t="n">
        <v>38</v>
      </c>
      <c r="F89" s="13" t="n">
        <v>418</v>
      </c>
      <c r="G89" s="38" t="n">
        <v>3420</v>
      </c>
      <c r="H89" s="13" t="n">
        <v>38</v>
      </c>
      <c r="I89" s="13" t="n">
        <v>45</v>
      </c>
      <c r="J89" s="13" t="n">
        <v>41</v>
      </c>
      <c r="K89" s="13" t="n">
        <v>86</v>
      </c>
      <c r="L89" s="13" t="n">
        <v>44</v>
      </c>
      <c r="M89" s="13" t="n">
        <v>1</v>
      </c>
      <c r="N89" s="13" t="n">
        <v>2</v>
      </c>
      <c r="O89" s="13" t="n">
        <v>97</v>
      </c>
      <c r="P89" s="13" t="n">
        <v>3</v>
      </c>
      <c r="Q89" s="13" t="n">
        <v>45.5</v>
      </c>
      <c r="R89" s="13" t="n">
        <v>44</v>
      </c>
      <c r="S89" s="13" t="n">
        <v>35.9</v>
      </c>
      <c r="T89" s="13" t="n">
        <v>79.90000000000001</v>
      </c>
      <c r="U89" s="13" t="n">
        <v>667</v>
      </c>
      <c r="V89" s="13" t="n">
        <v>1273</v>
      </c>
      <c r="W89" s="13" t="n">
        <v>1.18</v>
      </c>
      <c r="X89" s="13" t="n">
        <v>1.08</v>
      </c>
      <c r="Y89" s="13" t="n">
        <v>2.26</v>
      </c>
      <c r="Z89" s="13" t="n">
        <v>1.16</v>
      </c>
      <c r="AA89" s="13" t="n">
        <v>2.24</v>
      </c>
      <c r="AB89" s="13" t="n">
        <v>1.2</v>
      </c>
      <c r="AC89" s="13" t="n">
        <v>0.9399999999999999</v>
      </c>
      <c r="AD89" s="13" t="n">
        <v>2.14</v>
      </c>
      <c r="AE89" s="13" t="n">
        <v>1.16</v>
      </c>
      <c r="AF89" s="13" t="n">
        <v>2.1</v>
      </c>
      <c r="AN89">
        <f>IFERROR(VLOOKUP(RIGHT(B87,LEN(B87)-11),Helpers!$B$4:$C$36,2,0),"")</f>
        <v/>
      </c>
    </row>
    <row r="90" ht="17.1" customHeight="1" s="43">
      <c r="A90" s="3" t="inlineStr">
        <is>
          <t>vs Nott'ham Forest</t>
        </is>
      </c>
      <c r="B90" s="13" t="n">
        <v>23</v>
      </c>
      <c r="C90" s="13" t="n">
        <v>26.2</v>
      </c>
      <c r="D90" s="13" t="n">
        <v>58.8</v>
      </c>
      <c r="E90" s="13" t="n">
        <v>38</v>
      </c>
      <c r="F90" s="13" t="n">
        <v>418</v>
      </c>
      <c r="G90" s="38" t="n">
        <v>3420</v>
      </c>
      <c r="H90" s="13" t="n">
        <v>38</v>
      </c>
      <c r="I90" s="13" t="n">
        <v>46</v>
      </c>
      <c r="J90" s="13" t="n">
        <v>35</v>
      </c>
      <c r="K90" s="13" t="n">
        <v>81</v>
      </c>
      <c r="L90" s="13" t="n">
        <v>43</v>
      </c>
      <c r="M90" s="13" t="n">
        <v>3</v>
      </c>
      <c r="N90" s="13" t="n">
        <v>3</v>
      </c>
      <c r="O90" s="13" t="n">
        <v>104</v>
      </c>
      <c r="P90" s="13" t="n">
        <v>2</v>
      </c>
      <c r="Q90" s="13" t="n">
        <v>48.9</v>
      </c>
      <c r="R90" s="13" t="n">
        <v>46.5</v>
      </c>
      <c r="S90" s="13" t="n">
        <v>35.2</v>
      </c>
      <c r="T90" s="13" t="n">
        <v>81.7</v>
      </c>
      <c r="U90" s="13" t="n">
        <v>966</v>
      </c>
      <c r="V90" s="13" t="n">
        <v>1886</v>
      </c>
      <c r="W90" s="13" t="n">
        <v>1.21</v>
      </c>
      <c r="X90" s="13" t="n">
        <v>0.92</v>
      </c>
      <c r="Y90" s="13" t="n">
        <v>2.13</v>
      </c>
      <c r="Z90" s="13" t="n">
        <v>1.13</v>
      </c>
      <c r="AA90" s="13" t="n">
        <v>2.05</v>
      </c>
      <c r="AB90" s="13" t="n">
        <v>1.29</v>
      </c>
      <c r="AC90" s="13" t="n">
        <v>0.93</v>
      </c>
      <c r="AD90" s="13" t="n">
        <v>2.21</v>
      </c>
      <c r="AE90" s="13" t="n">
        <v>1.22</v>
      </c>
      <c r="AF90" s="13" t="n">
        <v>2.15</v>
      </c>
      <c r="AM90">
        <f>C88</f>
        <v/>
      </c>
      <c r="AN90">
        <f>IFERROR(VLOOKUP(RIGHT(B88,LEN(B88)-11),Helpers!$B$4:$C$36,2,0),"")</f>
        <v/>
      </c>
      <c r="AO90">
        <f>IF(IF(COUNTIF($AW$5:$AW$100,AW90)&gt;1,TRUE,FALSE),"T"&amp;AW90,AW90)</f>
        <v/>
      </c>
      <c r="AP90">
        <f>IF(IF(COUNTIF($AX$5:$AX$100,AX90)&gt;1,TRUE,FALSE),"T"&amp;AX90,AX90)</f>
        <v/>
      </c>
      <c r="AQ90">
        <f>IF(IF(COUNTIF($AY$5:$AY$100,AY90)&gt;1,TRUE,FALSE),"T"&amp;AY90,AY90)</f>
        <v/>
      </c>
      <c r="AR90">
        <f>IF(IF(COUNTIF($AZ$5:$AZ$100,AZ90)&gt;1,TRUE,FALSE),"T"&amp;AZ90,AZ90)</f>
        <v/>
      </c>
      <c r="AT90" s="27">
        <f>IFERROR(I88/C88,"")</f>
        <v/>
      </c>
      <c r="AW90">
        <f>RANK(G88,(G$3,G$8,G$13,G$18,G$23,G$28,G$33,G$38,G$43,G$48,G$53,G$58,G$63,G$68,G$73,G$78,G$83,G$88,G$93,G$98))</f>
        <v/>
      </c>
      <c r="AX90">
        <f>RANK(H88,(H$3,H$8,H$13,H$18,H$23,H$28,H$33,H$38,H$43,H$48,H$53,H$58,H$63,H$68,H$73,H$78,H$83,H$88,H$93,H$98),1)</f>
        <v/>
      </c>
      <c r="AY90">
        <f>RANK(I88,(I$3,I$8,I$13,I$18,I$23,I$28,I$33,I$38,I$43,I$48,I$53,I$58,I$63,I$68,I$73,I$78,I$83,I$88,I$93,I$98),0)</f>
        <v/>
      </c>
      <c r="AZ90">
        <f>RANK(AT90,(AT$5,AT$10,AT$15,AT$20,AT$25,AT$30,AT$35,AT$40,AT$45,AT$50,AT$55,AT$60,AT$65,AT$70,AT$75,AT$80,AT$85,AT$90,AT$95,AT$100),0)</f>
        <v/>
      </c>
    </row>
    <row r="91" ht="17.1" customHeight="1" s="43">
      <c r="A91" s="3" t="inlineStr">
        <is>
          <t>vs Southampton</t>
        </is>
      </c>
      <c r="B91" s="13" t="n">
        <v>36</v>
      </c>
      <c r="C91" s="13" t="n">
        <v>26.2</v>
      </c>
      <c r="D91" s="13" t="n">
        <v>51.5</v>
      </c>
      <c r="E91" s="13" t="n">
        <v>38</v>
      </c>
      <c r="F91" s="13" t="n">
        <v>418</v>
      </c>
      <c r="G91" s="38" t="n">
        <v>3420</v>
      </c>
      <c r="H91" s="13" t="n">
        <v>38</v>
      </c>
      <c r="I91" s="13" t="n">
        <v>86</v>
      </c>
      <c r="J91" s="13" t="n">
        <v>61</v>
      </c>
      <c r="K91" s="13" t="n">
        <v>147</v>
      </c>
      <c r="L91" s="13" t="n">
        <v>79</v>
      </c>
      <c r="M91" s="13" t="n">
        <v>7</v>
      </c>
      <c r="N91" s="13" t="n">
        <v>9</v>
      </c>
      <c r="O91" s="13" t="n">
        <v>54</v>
      </c>
      <c r="P91" s="13" t="n">
        <v>1</v>
      </c>
      <c r="Q91" s="13" t="n">
        <v>84.8</v>
      </c>
      <c r="R91" s="13" t="n">
        <v>77.90000000000001</v>
      </c>
      <c r="S91" s="13" t="n">
        <v>63</v>
      </c>
      <c r="T91" s="13" t="n">
        <v>140.9</v>
      </c>
      <c r="U91" s="13" t="n">
        <v>814</v>
      </c>
      <c r="V91" s="13" t="n">
        <v>1647</v>
      </c>
      <c r="W91" s="13" t="n">
        <v>2.26</v>
      </c>
      <c r="X91" s="13" t="n">
        <v>1.61</v>
      </c>
      <c r="Y91" s="13" t="n">
        <v>3.87</v>
      </c>
      <c r="Z91" s="13" t="n">
        <v>2.08</v>
      </c>
      <c r="AA91" s="13" t="n">
        <v>3.68</v>
      </c>
      <c r="AB91" s="13" t="n">
        <v>2.23</v>
      </c>
      <c r="AC91" s="13" t="n">
        <v>1.66</v>
      </c>
      <c r="AD91" s="13" t="n">
        <v>3.89</v>
      </c>
      <c r="AE91" s="13" t="n">
        <v>2.05</v>
      </c>
      <c r="AF91" s="13" t="n">
        <v>3.71</v>
      </c>
      <c r="AN91">
        <f>IFERROR(VLOOKUP(RIGHT(B89,LEN(B89)-11),Helpers!$B$4:$C$36,2,0),"")</f>
        <v/>
      </c>
    </row>
    <row r="92">
      <c r="A92" s="3" t="inlineStr">
        <is>
          <t>vs Tottenham</t>
        </is>
      </c>
      <c r="B92" s="13" t="n">
        <v>31</v>
      </c>
      <c r="C92" s="13" t="n">
        <v>26.2</v>
      </c>
      <c r="D92" s="13" t="n">
        <v>45.3</v>
      </c>
      <c r="E92" s="13" t="n">
        <v>38</v>
      </c>
      <c r="F92" s="13" t="n">
        <v>418</v>
      </c>
      <c r="G92" s="38" t="n">
        <v>3420</v>
      </c>
      <c r="H92" s="13" t="n">
        <v>38</v>
      </c>
      <c r="I92" s="13" t="n">
        <v>61</v>
      </c>
      <c r="J92" s="13" t="n">
        <v>43</v>
      </c>
      <c r="K92" s="13" t="n">
        <v>104</v>
      </c>
      <c r="L92" s="13" t="n">
        <v>58</v>
      </c>
      <c r="M92" s="13" t="n">
        <v>3</v>
      </c>
      <c r="N92" s="13" t="n">
        <v>3</v>
      </c>
      <c r="O92" s="13" t="n">
        <v>85</v>
      </c>
      <c r="P92" s="13" t="n">
        <v>3</v>
      </c>
      <c r="Q92" s="13" t="n">
        <v>63.3</v>
      </c>
      <c r="R92" s="13" t="n">
        <v>60.9</v>
      </c>
      <c r="S92" s="13" t="n">
        <v>46.3</v>
      </c>
      <c r="T92" s="13" t="n">
        <v>107.2</v>
      </c>
      <c r="U92" s="13" t="n">
        <v>660</v>
      </c>
      <c r="V92" s="13" t="n">
        <v>1330</v>
      </c>
      <c r="W92" s="13" t="n">
        <v>1.61</v>
      </c>
      <c r="X92" s="13" t="n">
        <v>1.13</v>
      </c>
      <c r="Y92" s="13" t="n">
        <v>2.74</v>
      </c>
      <c r="Z92" s="13" t="n">
        <v>1.53</v>
      </c>
      <c r="AA92" s="13" t="n">
        <v>2.66</v>
      </c>
      <c r="AB92" s="13" t="n">
        <v>1.67</v>
      </c>
      <c r="AC92" s="13" t="n">
        <v>1.22</v>
      </c>
      <c r="AD92" s="13" t="n">
        <v>2.88</v>
      </c>
      <c r="AE92" s="13" t="n">
        <v>1.6</v>
      </c>
      <c r="AF92" s="13" t="n">
        <v>2.82</v>
      </c>
      <c r="AN92">
        <f>IFERROR(VLOOKUP(RIGHT(B90,LEN(B90)-11),Helpers!$B$4:$C$36,2,0),"")</f>
        <v/>
      </c>
    </row>
    <row r="93" ht="17.1" customHeight="1" s="43">
      <c r="A93" s="3" t="inlineStr">
        <is>
          <t>vs West Ham</t>
        </is>
      </c>
      <c r="B93" s="13" t="n">
        <v>27</v>
      </c>
      <c r="C93" s="13" t="n">
        <v>26.1</v>
      </c>
      <c r="D93" s="13" t="n">
        <v>51.6</v>
      </c>
      <c r="E93" s="13" t="n">
        <v>38</v>
      </c>
      <c r="F93" s="13" t="n">
        <v>418</v>
      </c>
      <c r="G93" s="38" t="n">
        <v>3420</v>
      </c>
      <c r="H93" s="13" t="n">
        <v>38</v>
      </c>
      <c r="I93" s="13" t="n">
        <v>59</v>
      </c>
      <c r="J93" s="13" t="n">
        <v>45</v>
      </c>
      <c r="K93" s="13" t="n">
        <v>104</v>
      </c>
      <c r="L93" s="13" t="n">
        <v>56</v>
      </c>
      <c r="M93" s="13" t="n">
        <v>3</v>
      </c>
      <c r="N93" s="13" t="n">
        <v>3</v>
      </c>
      <c r="O93" s="13" t="n">
        <v>56</v>
      </c>
      <c r="P93" s="13" t="n">
        <v>1</v>
      </c>
      <c r="Q93" s="13" t="n">
        <v>59.7</v>
      </c>
      <c r="R93" s="13" t="n">
        <v>57.4</v>
      </c>
      <c r="S93" s="13" t="n">
        <v>47.6</v>
      </c>
      <c r="T93" s="13" t="n">
        <v>105</v>
      </c>
      <c r="U93" s="13" t="n">
        <v>832</v>
      </c>
      <c r="V93" s="13" t="n">
        <v>1622</v>
      </c>
      <c r="W93" s="13" t="n">
        <v>1.55</v>
      </c>
      <c r="X93" s="13" t="n">
        <v>1.18</v>
      </c>
      <c r="Y93" s="13" t="n">
        <v>2.74</v>
      </c>
      <c r="Z93" s="13" t="n">
        <v>1.47</v>
      </c>
      <c r="AA93" s="13" t="n">
        <v>2.66</v>
      </c>
      <c r="AB93" s="13" t="n">
        <v>1.57</v>
      </c>
      <c r="AC93" s="13" t="n">
        <v>1.25</v>
      </c>
      <c r="AD93" s="13" t="n">
        <v>2.82</v>
      </c>
      <c r="AE93" s="13" t="n">
        <v>1.51</v>
      </c>
      <c r="AF93" s="13" t="n">
        <v>2.76</v>
      </c>
      <c r="AL93">
        <f>AN95</f>
        <v/>
      </c>
      <c r="AN93">
        <f>IFERROR(VLOOKUP(RIGHT(B91,LEN(B91)-11),Helpers!$B$4:$C$36,2,0),"")</f>
        <v/>
      </c>
    </row>
    <row r="94">
      <c r="A94" s="3" t="inlineStr">
        <is>
          <t>vs Wolves</t>
        </is>
      </c>
      <c r="B94" s="13" t="n">
        <v>32</v>
      </c>
      <c r="C94" s="13" t="n">
        <v>26.2</v>
      </c>
      <c r="D94" s="13" t="n">
        <v>51.9</v>
      </c>
      <c r="E94" s="13" t="n">
        <v>38</v>
      </c>
      <c r="F94" s="13" t="n">
        <v>418</v>
      </c>
      <c r="G94" s="38" t="n">
        <v>3420</v>
      </c>
      <c r="H94" s="13" t="n">
        <v>38</v>
      </c>
      <c r="I94" s="13" t="n">
        <v>66</v>
      </c>
      <c r="J94" s="13" t="n">
        <v>47</v>
      </c>
      <c r="K94" s="13" t="n">
        <v>113</v>
      </c>
      <c r="L94" s="13" t="n">
        <v>59</v>
      </c>
      <c r="M94" s="13" t="n">
        <v>7</v>
      </c>
      <c r="N94" s="13" t="n">
        <v>9</v>
      </c>
      <c r="O94" s="13" t="n">
        <v>85</v>
      </c>
      <c r="P94" s="13" t="n">
        <v>3</v>
      </c>
      <c r="Q94" s="13" t="n">
        <v>58.1</v>
      </c>
      <c r="R94" s="13" t="n">
        <v>51</v>
      </c>
      <c r="S94" s="13" t="n">
        <v>41.5</v>
      </c>
      <c r="T94" s="13" t="n">
        <v>92.5</v>
      </c>
      <c r="U94" s="13" t="n">
        <v>767</v>
      </c>
      <c r="V94" s="13" t="n">
        <v>1534</v>
      </c>
      <c r="W94" s="13" t="n">
        <v>1.74</v>
      </c>
      <c r="X94" s="13" t="n">
        <v>1.24</v>
      </c>
      <c r="Y94" s="13" t="n">
        <v>2.97</v>
      </c>
      <c r="Z94" s="13" t="n">
        <v>1.55</v>
      </c>
      <c r="AA94" s="13" t="n">
        <v>2.79</v>
      </c>
      <c r="AB94" s="13" t="n">
        <v>1.53</v>
      </c>
      <c r="AC94" s="13" t="n">
        <v>1.09</v>
      </c>
      <c r="AD94" s="13" t="n">
        <v>2.62</v>
      </c>
      <c r="AE94" s="13" t="n">
        <v>1.34</v>
      </c>
      <c r="AF94" s="13" t="n">
        <v>2.44</v>
      </c>
      <c r="AN94">
        <f>IFERROR(VLOOKUP(RIGHT(B92,LEN(B92)-11),Helpers!$B$4:$C$36,2,0),"")</f>
        <v/>
      </c>
    </row>
    <row r="95" ht="18" customHeight="1" s="43">
      <c r="AM95">
        <f>C93</f>
        <v/>
      </c>
      <c r="AN95">
        <f>IFERROR(VLOOKUP(RIGHT(B93,LEN(B93)-11),Helpers!$B$4:$C$36,2,0),"")</f>
        <v/>
      </c>
      <c r="AO95">
        <f>IF(IF(COUNTIF($AW$5:$AW$100,AW95)&gt;1,TRUE,FALSE),"T"&amp;AW95,AW95)</f>
        <v/>
      </c>
      <c r="AP95">
        <f>IF(IF(COUNTIF($AX$5:$AX$100,AX95)&gt;1,TRUE,FALSE),"T"&amp;AX95,AX95)</f>
        <v/>
      </c>
      <c r="AQ95">
        <f>IF(IF(COUNTIF($AY$5:$AY$100,AY95)&gt;1,TRUE,FALSE),"T"&amp;AY95,AY95)</f>
        <v/>
      </c>
      <c r="AR95">
        <f>IF(IF(COUNTIF($AZ$5:$AZ$100,AZ95)&gt;1,TRUE,FALSE),"T"&amp;AZ95,AZ95)</f>
        <v/>
      </c>
      <c r="AT95" s="27">
        <f>IFERROR(I93/C93,"")</f>
        <v/>
      </c>
      <c r="AW95">
        <f>RANK(G93,(G$3,G$8,G$13,G$18,G$23,G$28,G$33,G$38,G$43,G$48,G$53,G$58,G$63,G$68,G$73,G$78,G$83,G$88,G$93,G$98))</f>
        <v/>
      </c>
      <c r="AX95">
        <f>RANK(H93,(H$3,H$8,H$13,H$18,H$23,H$28,H$33,H$38,H$43,H$48,H$53,H$58,H$63,H$68,H$73,H$78,H$83,H$88,H$93,H$98),1)</f>
        <v/>
      </c>
      <c r="AY95">
        <f>RANK(I93,(I$3,I$8,I$13,I$18,I$23,I$28,I$33,I$38,I$43,I$48,I$53,I$58,I$63,I$68,I$73,I$78,I$83,I$88,I$93,I$98),0)</f>
        <v/>
      </c>
      <c r="AZ95">
        <f>RANK(AT95,(AT$5,AT$10,AT$15,AT$20,AT$25,AT$30,AT$35,AT$40,AT$45,AT$50,AT$55,AT$60,AT$65,AT$70,AT$75,AT$80,AT$85,AT$90,AT$95,AT$100),0)</f>
        <v/>
      </c>
    </row>
    <row r="96" ht="17.1" customHeight="1" s="43">
      <c r="A96" s="45" t="inlineStr">
        <is>
          <t>Squad Goalkeeping 2024-2025 Premier League Table</t>
        </is>
      </c>
      <c r="AN96">
        <f>IFERROR(VLOOKUP(RIGHT(B94,LEN(B94)-11),Helpers!$B$4:$C$36,2,0),"")</f>
        <v/>
      </c>
    </row>
    <row r="97" ht="17.1" customHeight="1" s="43">
      <c r="A97" s="44" t="n"/>
      <c r="C97" s="44" t="inlineStr">
        <is>
          <t>Playing Time</t>
        </is>
      </c>
      <c r="G97" s="44" t="inlineStr">
        <is>
          <t>Performance</t>
        </is>
      </c>
      <c r="Q97" s="44" t="inlineStr">
        <is>
          <t>Penalty Kicks</t>
        </is>
      </c>
      <c r="AN97">
        <f>IFERROR(VLOOKUP(RIGHT(B95,LEN(B95)-11),Helpers!$B$4:$C$36,2,0),"")</f>
        <v/>
      </c>
    </row>
    <row r="98" ht="17.1" customHeight="1" s="43">
      <c r="A98" s="44" t="inlineStr">
        <is>
          <t>Squad</t>
        </is>
      </c>
      <c r="B98" s="44" t="inlineStr">
        <is>
          <t># Pl</t>
        </is>
      </c>
      <c r="C98" s="44" t="inlineStr">
        <is>
          <t>MP</t>
        </is>
      </c>
      <c r="D98" s="44" t="inlineStr">
        <is>
          <t>Starts</t>
        </is>
      </c>
      <c r="E98" s="44" t="inlineStr">
        <is>
          <t>Min</t>
        </is>
      </c>
      <c r="F98" s="44" t="inlineStr">
        <is>
          <t>90s</t>
        </is>
      </c>
      <c r="G98" s="44" t="inlineStr">
        <is>
          <t>GA</t>
        </is>
      </c>
      <c r="H98" s="44" t="inlineStr">
        <is>
          <t>GA90</t>
        </is>
      </c>
      <c r="I98" s="44" t="inlineStr">
        <is>
          <t>SoTA</t>
        </is>
      </c>
      <c r="J98" s="44" t="inlineStr">
        <is>
          <t>Saves</t>
        </is>
      </c>
      <c r="K98" s="44" t="inlineStr">
        <is>
          <t>Save%</t>
        </is>
      </c>
      <c r="L98" s="44" t="inlineStr">
        <is>
          <t>W</t>
        </is>
      </c>
      <c r="M98" s="44" t="inlineStr">
        <is>
          <t>D</t>
        </is>
      </c>
      <c r="N98" s="44" t="inlineStr">
        <is>
          <t>L</t>
        </is>
      </c>
      <c r="O98" s="44" t="inlineStr">
        <is>
          <t>CS</t>
        </is>
      </c>
      <c r="P98" s="44" t="inlineStr">
        <is>
          <t>CS%</t>
        </is>
      </c>
      <c r="Q98" s="44" t="inlineStr">
        <is>
          <t>PKatt</t>
        </is>
      </c>
      <c r="R98" s="44" t="inlineStr">
        <is>
          <t>PKA</t>
        </is>
      </c>
      <c r="S98" s="44" t="inlineStr">
        <is>
          <t>PKsv</t>
        </is>
      </c>
      <c r="T98" s="44" t="inlineStr">
        <is>
          <t>PKm</t>
        </is>
      </c>
      <c r="U98" s="44" t="inlineStr">
        <is>
          <t>Save%</t>
        </is>
      </c>
      <c r="AL98">
        <f>AN100</f>
        <v/>
      </c>
      <c r="AN98">
        <f>IFERROR(VLOOKUP(RIGHT(B96,LEN(B96)-11),Helpers!$B$4:$C$36,2,0),"")</f>
        <v/>
      </c>
    </row>
    <row r="99" ht="17.1" customHeight="1" s="43">
      <c r="A99" s="3" t="inlineStr">
        <is>
          <t>Arsenal</t>
        </is>
      </c>
      <c r="B99" s="13" t="n">
        <v>1</v>
      </c>
      <c r="C99" s="13" t="n">
        <v>38</v>
      </c>
      <c r="D99" s="13" t="n">
        <v>38</v>
      </c>
      <c r="E99" s="38" t="n">
        <v>3420</v>
      </c>
      <c r="F99" s="13" t="n">
        <v>38</v>
      </c>
      <c r="G99" s="13" t="n">
        <v>34</v>
      </c>
      <c r="H99" s="13" t="n">
        <v>0.89</v>
      </c>
      <c r="I99" s="13" t="n">
        <v>120</v>
      </c>
      <c r="J99" s="13" t="n">
        <v>86</v>
      </c>
      <c r="K99" s="13" t="n">
        <v>74.2</v>
      </c>
      <c r="L99" s="13" t="n">
        <v>20</v>
      </c>
      <c r="M99" s="13" t="n">
        <v>14</v>
      </c>
      <c r="N99" s="13" t="n">
        <v>4</v>
      </c>
      <c r="O99" s="13" t="n">
        <v>13</v>
      </c>
      <c r="P99" s="13" t="n">
        <v>34.2</v>
      </c>
      <c r="Q99" s="13" t="n">
        <v>3</v>
      </c>
      <c r="R99" s="13" t="n">
        <v>3</v>
      </c>
      <c r="S99" s="13" t="n">
        <v>0</v>
      </c>
      <c r="T99" s="13" t="n">
        <v>0</v>
      </c>
      <c r="U99" s="13" t="n">
        <v>0</v>
      </c>
      <c r="AN99">
        <f>IFERROR(VLOOKUP(RIGHT(B97,LEN(B97)-11),Helpers!$B$4:$C$36,2,0),"")</f>
        <v/>
      </c>
    </row>
    <row r="100">
      <c r="A100" s="3" t="inlineStr">
        <is>
          <t>Aston Villa</t>
        </is>
      </c>
      <c r="B100" s="13" t="n">
        <v>2</v>
      </c>
      <c r="C100" s="13" t="n">
        <v>38</v>
      </c>
      <c r="D100" s="13" t="n">
        <v>38</v>
      </c>
      <c r="E100" s="38" t="n">
        <v>3420</v>
      </c>
      <c r="F100" s="13" t="n">
        <v>38</v>
      </c>
      <c r="G100" s="13" t="n">
        <v>51</v>
      </c>
      <c r="H100" s="13" t="n">
        <v>1.34</v>
      </c>
      <c r="I100" s="13" t="n">
        <v>156</v>
      </c>
      <c r="J100" s="13" t="n">
        <v>104</v>
      </c>
      <c r="K100" s="13" t="n">
        <v>68.59999999999999</v>
      </c>
      <c r="L100" s="13" t="n">
        <v>19</v>
      </c>
      <c r="M100" s="13" t="n">
        <v>9</v>
      </c>
      <c r="N100" s="13" t="n">
        <v>10</v>
      </c>
      <c r="O100" s="13" t="n">
        <v>9</v>
      </c>
      <c r="P100" s="13" t="n">
        <v>23.7</v>
      </c>
      <c r="Q100" s="13" t="n">
        <v>3</v>
      </c>
      <c r="R100" s="13" t="n">
        <v>2</v>
      </c>
      <c r="S100" s="13" t="n">
        <v>1</v>
      </c>
      <c r="T100" s="13" t="n">
        <v>0</v>
      </c>
      <c r="U100" s="13" t="n">
        <v>33.3</v>
      </c>
      <c r="AM100">
        <f>C98</f>
        <v/>
      </c>
      <c r="AN100">
        <f>IFERROR(VLOOKUP(RIGHT(B98,LEN(B98)-11),Helpers!$B$4:$C$36,2,0),"")</f>
        <v/>
      </c>
      <c r="AO100">
        <f>IF(IF(COUNTIF($AW$5:$AW$100,AW100)&gt;1,TRUE,FALSE),"T"&amp;AW100,AW100)</f>
        <v/>
      </c>
      <c r="AP100">
        <f>IF(IF(COUNTIF($AX$5:$AX$100,AX100)&gt;1,TRUE,FALSE),"T"&amp;AX100,AX100)</f>
        <v/>
      </c>
      <c r="AQ100">
        <f>IF(IF(COUNTIF($AY$5:$AY$100,AY100)&gt;1,TRUE,FALSE),"T"&amp;AY100,AY100)</f>
        <v/>
      </c>
      <c r="AR100">
        <f>IF(IF(COUNTIF($AZ$5:$AZ$100,AZ100)&gt;1,TRUE,FALSE),"T"&amp;AZ100,AZ100)</f>
        <v/>
      </c>
      <c r="AT100" s="27">
        <f>IFERROR(I98/C98,"")</f>
        <v/>
      </c>
      <c r="AW100">
        <f>RANK(G98,(G$3,G$8,G$13,G$18,G$23,G$28,G$33,G$38,G$43,G$48,G$53,G$58,G$63,G$68,G$73,G$78,G$83,G$88,G$93,G$98))</f>
        <v/>
      </c>
      <c r="AX100">
        <f>RANK(H98,(H$3,H$8,H$13,H$18,H$23,H$28,H$33,H$38,H$43,H$48,H$53,H$58,H$63,H$68,H$73,H$78,H$83,H$88,H$93,H$98),1)</f>
        <v/>
      </c>
      <c r="AY100">
        <f>RANK(I98,(I$3,I$8,I$13,I$18,I$23,I$28,I$33,I$38,I$43,I$48,I$53,I$58,I$63,I$68,I$73,I$78,I$83,I$88,I$93,I$98),0)</f>
        <v/>
      </c>
      <c r="AZ100">
        <f>RANK(AT100,(AT$5,AT$10,AT$15,AT$20,AT$25,AT$30,AT$35,AT$40,AT$45,AT$50,AT$55,AT$60,AT$65,AT$70,AT$75,AT$80,AT$85,AT$90,AT$95,AT$100),0)</f>
        <v/>
      </c>
    </row>
    <row r="101">
      <c r="A101" s="3" t="inlineStr">
        <is>
          <t>Bournemouth</t>
        </is>
      </c>
      <c r="B101" s="13" t="n">
        <v>3</v>
      </c>
      <c r="C101" s="13" t="n">
        <v>38</v>
      </c>
      <c r="D101" s="13" t="n">
        <v>38</v>
      </c>
      <c r="E101" s="38" t="n">
        <v>3420</v>
      </c>
      <c r="F101" s="13" t="n">
        <v>38</v>
      </c>
      <c r="G101" s="13" t="n">
        <v>46</v>
      </c>
      <c r="H101" s="13" t="n">
        <v>1.21</v>
      </c>
      <c r="I101" s="13" t="n">
        <v>172</v>
      </c>
      <c r="J101" s="13" t="n">
        <v>126</v>
      </c>
      <c r="K101" s="13" t="n">
        <v>75.59999999999999</v>
      </c>
      <c r="L101" s="13" t="n">
        <v>15</v>
      </c>
      <c r="M101" s="13" t="n">
        <v>11</v>
      </c>
      <c r="N101" s="13" t="n">
        <v>12</v>
      </c>
      <c r="O101" s="13" t="n">
        <v>9</v>
      </c>
      <c r="P101" s="13" t="n">
        <v>23.7</v>
      </c>
      <c r="Q101" s="13" t="n">
        <v>4</v>
      </c>
      <c r="R101" s="13" t="n">
        <v>4</v>
      </c>
      <c r="S101" s="13" t="n">
        <v>0</v>
      </c>
      <c r="T101" s="13" t="n">
        <v>0</v>
      </c>
      <c r="U101" s="13" t="n">
        <v>0</v>
      </c>
    </row>
    <row r="102">
      <c r="A102" s="3" t="inlineStr">
        <is>
          <t>Brentford</t>
        </is>
      </c>
      <c r="B102" s="13" t="n">
        <v>2</v>
      </c>
      <c r="C102" s="13" t="n">
        <v>38</v>
      </c>
      <c r="D102" s="13" t="n">
        <v>38</v>
      </c>
      <c r="E102" s="38" t="n">
        <v>3420</v>
      </c>
      <c r="F102" s="13" t="n">
        <v>38</v>
      </c>
      <c r="G102" s="13" t="n">
        <v>57</v>
      </c>
      <c r="H102" s="13" t="n">
        <v>1.5</v>
      </c>
      <c r="I102" s="13" t="n">
        <v>207</v>
      </c>
      <c r="J102" s="13" t="n">
        <v>153</v>
      </c>
      <c r="K102" s="13" t="n">
        <v>72.90000000000001</v>
      </c>
      <c r="L102" s="13" t="n">
        <v>16</v>
      </c>
      <c r="M102" s="13" t="n">
        <v>8</v>
      </c>
      <c r="N102" s="13" t="n">
        <v>14</v>
      </c>
      <c r="O102" s="13" t="n">
        <v>8</v>
      </c>
      <c r="P102" s="13" t="n">
        <v>21.1</v>
      </c>
      <c r="Q102" s="13" t="n">
        <v>1</v>
      </c>
      <c r="R102" s="13" t="n">
        <v>1</v>
      </c>
      <c r="S102" s="13" t="n">
        <v>0</v>
      </c>
      <c r="T102" s="13" t="n">
        <v>0</v>
      </c>
      <c r="U102" s="13" t="n">
        <v>0</v>
      </c>
    </row>
    <row r="103" ht="17.1" customHeight="1" s="43">
      <c r="A103" s="3" t="inlineStr">
        <is>
          <t>Brighton</t>
        </is>
      </c>
      <c r="B103" s="13" t="n">
        <v>2</v>
      </c>
      <c r="C103" s="13" t="n">
        <v>38</v>
      </c>
      <c r="D103" s="13" t="n">
        <v>38</v>
      </c>
      <c r="E103" s="38" t="n">
        <v>3420</v>
      </c>
      <c r="F103" s="13" t="n">
        <v>38</v>
      </c>
      <c r="G103" s="13" t="n">
        <v>59</v>
      </c>
      <c r="H103" s="13" t="n">
        <v>1.55</v>
      </c>
      <c r="I103" s="13" t="n">
        <v>147</v>
      </c>
      <c r="J103" s="13" t="n">
        <v>90</v>
      </c>
      <c r="K103" s="13" t="n">
        <v>66</v>
      </c>
      <c r="L103" s="13" t="n">
        <v>16</v>
      </c>
      <c r="M103" s="13" t="n">
        <v>13</v>
      </c>
      <c r="N103" s="13" t="n">
        <v>9</v>
      </c>
      <c r="O103" s="13" t="n">
        <v>8</v>
      </c>
      <c r="P103" s="13" t="n">
        <v>21.1</v>
      </c>
      <c r="Q103" s="13" t="n">
        <v>9</v>
      </c>
      <c r="R103" s="13" t="n">
        <v>9</v>
      </c>
      <c r="S103" s="13" t="n">
        <v>0</v>
      </c>
      <c r="T103" s="13" t="n">
        <v>0</v>
      </c>
      <c r="U103" s="13" t="n">
        <v>0</v>
      </c>
    </row>
    <row r="104">
      <c r="A104" s="3" t="inlineStr">
        <is>
          <t>Chelsea</t>
        </is>
      </c>
      <c r="B104" s="13" t="n">
        <v>2</v>
      </c>
      <c r="C104" s="13" t="n">
        <v>38</v>
      </c>
      <c r="D104" s="13" t="n">
        <v>38</v>
      </c>
      <c r="E104" s="38" t="n">
        <v>3420</v>
      </c>
      <c r="F104" s="13" t="n">
        <v>38</v>
      </c>
      <c r="G104" s="13" t="n">
        <v>43</v>
      </c>
      <c r="H104" s="13" t="n">
        <v>1.13</v>
      </c>
      <c r="I104" s="13" t="n">
        <v>155</v>
      </c>
      <c r="J104" s="13" t="n">
        <v>111</v>
      </c>
      <c r="K104" s="13" t="n">
        <v>75.5</v>
      </c>
      <c r="L104" s="13" t="n">
        <v>20</v>
      </c>
      <c r="M104" s="13" t="n">
        <v>9</v>
      </c>
      <c r="N104" s="13" t="n">
        <v>9</v>
      </c>
      <c r="O104" s="13" t="n">
        <v>11</v>
      </c>
      <c r="P104" s="13" t="n">
        <v>28.9</v>
      </c>
      <c r="Q104" s="13" t="n">
        <v>6</v>
      </c>
      <c r="R104" s="13" t="n">
        <v>5</v>
      </c>
      <c r="S104" s="13" t="n">
        <v>1</v>
      </c>
      <c r="T104" s="13" t="n">
        <v>0</v>
      </c>
      <c r="U104" s="13" t="n">
        <v>16.7</v>
      </c>
    </row>
    <row r="105" ht="15.75" customHeight="1" s="43">
      <c r="A105" s="3" t="inlineStr">
        <is>
          <t>Crystal Palace</t>
        </is>
      </c>
      <c r="B105" s="13" t="n">
        <v>1</v>
      </c>
      <c r="C105" s="13" t="n">
        <v>38</v>
      </c>
      <c r="D105" s="13" t="n">
        <v>38</v>
      </c>
      <c r="E105" s="38" t="n">
        <v>3420</v>
      </c>
      <c r="F105" s="13" t="n">
        <v>38</v>
      </c>
      <c r="G105" s="13" t="n">
        <v>51</v>
      </c>
      <c r="H105" s="13" t="n">
        <v>1.34</v>
      </c>
      <c r="I105" s="13" t="n">
        <v>150</v>
      </c>
      <c r="J105" s="13" t="n">
        <v>101</v>
      </c>
      <c r="K105" s="13" t="n">
        <v>66.7</v>
      </c>
      <c r="L105" s="13" t="n">
        <v>13</v>
      </c>
      <c r="M105" s="13" t="n">
        <v>14</v>
      </c>
      <c r="N105" s="13" t="n">
        <v>11</v>
      </c>
      <c r="O105" s="13" t="n">
        <v>11</v>
      </c>
      <c r="P105" s="13" t="n">
        <v>28.9</v>
      </c>
      <c r="Q105" s="13" t="n">
        <v>2</v>
      </c>
      <c r="R105" s="13" t="n">
        <v>1</v>
      </c>
      <c r="S105" s="13" t="n">
        <v>1</v>
      </c>
      <c r="T105" s="13" t="n">
        <v>0</v>
      </c>
      <c r="U105" s="13" t="n">
        <v>50</v>
      </c>
      <c r="AV105" s="19" t="inlineStr">
        <is>
          <t>RANKING</t>
        </is>
      </c>
    </row>
    <row r="106" ht="63" customHeight="1" s="43">
      <c r="A106" s="3" t="inlineStr">
        <is>
          <t>Everton</t>
        </is>
      </c>
      <c r="B106" s="13" t="n">
        <v>1</v>
      </c>
      <c r="C106" s="13" t="n">
        <v>38</v>
      </c>
      <c r="D106" s="13" t="n">
        <v>38</v>
      </c>
      <c r="E106" s="38" t="n">
        <v>3420</v>
      </c>
      <c r="F106" s="13" t="n">
        <v>38</v>
      </c>
      <c r="G106" s="13" t="n">
        <v>44</v>
      </c>
      <c r="H106" s="13" t="n">
        <v>1.16</v>
      </c>
      <c r="I106" s="13" t="n">
        <v>163</v>
      </c>
      <c r="J106" s="13" t="n">
        <v>117</v>
      </c>
      <c r="K106" s="13" t="n">
        <v>73</v>
      </c>
      <c r="L106" s="13" t="n">
        <v>11</v>
      </c>
      <c r="M106" s="13" t="n">
        <v>15</v>
      </c>
      <c r="N106" s="13" t="n">
        <v>12</v>
      </c>
      <c r="O106" s="13" t="n">
        <v>12</v>
      </c>
      <c r="P106" s="13" t="n">
        <v>31.6</v>
      </c>
      <c r="Q106" s="13" t="n">
        <v>2</v>
      </c>
      <c r="R106" s="13" t="n">
        <v>0</v>
      </c>
      <c r="S106" s="13" t="n">
        <v>2</v>
      </c>
      <c r="T106" s="13" t="n">
        <v>0</v>
      </c>
      <c r="U106" s="13" t="n">
        <v>100</v>
      </c>
      <c r="AW106" s="20" t="inlineStr">
        <is>
          <t>Wins At Home</t>
        </is>
      </c>
      <c r="AX106" s="20" t="inlineStr">
        <is>
          <t>Wins Away</t>
        </is>
      </c>
      <c r="AY106" s="20" t="inlineStr">
        <is>
          <t>Draws At Home</t>
        </is>
      </c>
      <c r="AZ106" s="20" t="inlineStr">
        <is>
          <t>Draws Away</t>
        </is>
      </c>
      <c r="BA106" s="20" t="inlineStr">
        <is>
          <t>Losses At Home</t>
        </is>
      </c>
      <c r="BB106" s="20" t="inlineStr">
        <is>
          <t>Losses Away</t>
        </is>
      </c>
      <c r="BC106" s="20" t="inlineStr">
        <is>
          <t>Points At Home</t>
        </is>
      </c>
      <c r="BD106" s="20" t="inlineStr">
        <is>
          <t>Points Away From Home</t>
        </is>
      </c>
      <c r="BE106" s="20" t="inlineStr">
        <is>
          <t>Points Per Match Played At Home</t>
        </is>
      </c>
      <c r="BF106" s="20" t="inlineStr">
        <is>
          <t>Points Per Match Played Away</t>
        </is>
      </c>
      <c r="BG106" s="20" t="inlineStr">
        <is>
          <t>Points Per Match</t>
        </is>
      </c>
      <c r="BH106" s="20" t="inlineStr">
        <is>
          <t>Goals For At Home</t>
        </is>
      </c>
      <c r="BI106" s="20" t="inlineStr">
        <is>
          <t>Goals For Away</t>
        </is>
      </c>
      <c r="BJ106" s="20" t="inlineStr">
        <is>
          <t>Goals Against At Home</t>
        </is>
      </c>
      <c r="BK106" s="20" t="inlineStr">
        <is>
          <t>Goals Against Away</t>
        </is>
      </c>
      <c r="BL106" s="20" t="inlineStr">
        <is>
          <t>Goal Difference At Home</t>
        </is>
      </c>
      <c r="BM106" s="20" t="inlineStr">
        <is>
          <t>Goal Difference Away</t>
        </is>
      </c>
      <c r="BQ106" t="inlineStr">
        <is>
          <t>Points Per Match</t>
        </is>
      </c>
    </row>
    <row r="107">
      <c r="A107" s="3" t="inlineStr">
        <is>
          <t>Fulham</t>
        </is>
      </c>
      <c r="B107" s="13" t="n">
        <v>1</v>
      </c>
      <c r="C107" s="13" t="n">
        <v>38</v>
      </c>
      <c r="D107" s="13" t="n">
        <v>38</v>
      </c>
      <c r="E107" s="38" t="n">
        <v>3420</v>
      </c>
      <c r="F107" s="13" t="n">
        <v>38</v>
      </c>
      <c r="G107" s="13" t="n">
        <v>54</v>
      </c>
      <c r="H107" s="13" t="n">
        <v>1.42</v>
      </c>
      <c r="I107" s="13" t="n">
        <v>159</v>
      </c>
      <c r="J107" s="13" t="n">
        <v>106</v>
      </c>
      <c r="K107" s="13" t="n">
        <v>67.90000000000001</v>
      </c>
      <c r="L107" s="13" t="n">
        <v>15</v>
      </c>
      <c r="M107" s="13" t="n">
        <v>9</v>
      </c>
      <c r="N107" s="13" t="n">
        <v>14</v>
      </c>
      <c r="O107" s="13" t="n">
        <v>5</v>
      </c>
      <c r="P107" s="13" t="n">
        <v>13.2</v>
      </c>
      <c r="Q107" s="13" t="n">
        <v>4</v>
      </c>
      <c r="R107" s="13" t="n">
        <v>3</v>
      </c>
      <c r="S107" s="13" t="n">
        <v>1</v>
      </c>
      <c r="T107" s="13" t="n">
        <v>0</v>
      </c>
      <c r="U107" s="13" t="n">
        <v>25</v>
      </c>
      <c r="AV107">
        <f>VLOOKUP(RIGHT(B107,LEN(B107)-11),Helpers!$B$4:$C$28,2,0)</f>
        <v/>
      </c>
      <c r="AW107">
        <f>IF(IF(COUNTIF(BT$107:BT$126,BT107)&gt;1,TRUE,FALSE),"T"&amp;BT107,BT107)</f>
        <v/>
      </c>
      <c r="AX107">
        <f>IF(IF(COUNTIF(BU$107:BU$126,BU107)&gt;1,TRUE,FALSE),"T"&amp;BU107,BU107)</f>
        <v/>
      </c>
      <c r="AY107">
        <f>IF(IF(COUNTIF(BV$107:BV$126,BV107)&gt;1,TRUE,FALSE),"T"&amp;BV107,BV107)</f>
        <v/>
      </c>
      <c r="AZ107">
        <f>IF(IF(COUNTIF(BW$107:BW$126,BW107)&gt;1,TRUE,FALSE),"T"&amp;BW107,BW107)</f>
        <v/>
      </c>
      <c r="BA107">
        <f>IF(IF(COUNTIF(BX$107:BX$126,BX107)&gt;1,TRUE,FALSE),"T"&amp;BX107,BX107)</f>
        <v/>
      </c>
      <c r="BB107">
        <f>IF(IF(COUNTIF(BY$107:BY$126,BY107)&gt;1,TRUE,FALSE),"T"&amp;BY107,BY107)</f>
        <v/>
      </c>
      <c r="BC107">
        <f>IF(IF(COUNTIF(BZ$107:BZ$126,BZ107)&gt;1,TRUE,FALSE),"T"&amp;BZ107,BZ107)</f>
        <v/>
      </c>
      <c r="BD107">
        <f>IF(IF(COUNTIF(CA$107:CA$126,CA107)&gt;1,TRUE,FALSE),"T"&amp;CA107,CA107)</f>
        <v/>
      </c>
      <c r="BE107" s="30">
        <f>IF(IF(COUNTIF(CB$107:CB$126,CB107)&gt;1,TRUE,FALSE),"T"&amp;CB107,CB107)</f>
        <v/>
      </c>
      <c r="BF107" s="30">
        <f>IF(IF(COUNTIF(CC$107:CC$126,CC107)&gt;1,TRUE,FALSE),"T"&amp;CC107,CC107)</f>
        <v/>
      </c>
      <c r="BG107">
        <f>IF(IF(COUNTIF(CD$107:CD$126,CD107)&gt;1,TRUE,FALSE),"T"&amp;CD107,CD107)</f>
        <v/>
      </c>
      <c r="BH107">
        <f>IF(IF(COUNTIF(CE$107:CE$126,CE107)&gt;1,TRUE,FALSE),"T"&amp;CE107,CE107)</f>
        <v/>
      </c>
      <c r="BI107">
        <f>IF(IF(COUNTIF(CF$107:CF$126,CF107)&gt;1,TRUE,FALSE),"T"&amp;CF107,CF107)</f>
        <v/>
      </c>
      <c r="BJ107">
        <f>IF(IF(COUNTIF(CG$107:CG$126,CG107)&gt;1,TRUE,FALSE),"T"&amp;CG107,CG107)</f>
        <v/>
      </c>
      <c r="BK107">
        <f>IF(IF(COUNTIF(CH$107:CH$126,CH107)&gt;1,TRUE,FALSE),"T"&amp;CH107,CH107)</f>
        <v/>
      </c>
      <c r="BL107">
        <f>IF(IF(COUNTIF(CI$107:CI$126,CI107)&gt;1,TRUE,FALSE),"T"&amp;CI107,CI107)</f>
        <v/>
      </c>
      <c r="BM107">
        <f>IF(IF(COUNTIF(CJ$107:CJ$126,CJ107)&gt;1,TRUE,FALSE),"T"&amp;CJ107,CJ107)</f>
        <v/>
      </c>
      <c r="BQ107" s="2">
        <f>SUM(J107,W107)/SUM(C107,P107)</f>
        <v/>
      </c>
      <c r="BT107">
        <f>RANK(D107,D$107:D$126)</f>
        <v/>
      </c>
      <c r="BU107">
        <f>RANK(Q107,Q$107:Q$126)</f>
        <v/>
      </c>
      <c r="BV107">
        <f>RANK(E107,E$107:E$126,1)</f>
        <v/>
      </c>
      <c r="BW107">
        <f>RANK(R107,R$107:R$126,1)</f>
        <v/>
      </c>
      <c r="BX107">
        <f>RANK(F107,F$107:F$126,1)</f>
        <v/>
      </c>
      <c r="BY107">
        <f>RANK(S107,S$107:S$126,1)</f>
        <v/>
      </c>
      <c r="BZ107">
        <f>RANK(J107,J$107:J$126)</f>
        <v/>
      </c>
      <c r="CA107">
        <f>RANK(W107,W$107:W$126)</f>
        <v/>
      </c>
      <c r="CB107">
        <f>RANK(K107,K$107:K$126)</f>
        <v/>
      </c>
      <c r="CC107">
        <f>RANK(X107,X$107:X$126)</f>
        <v/>
      </c>
      <c r="CD107" s="2">
        <f>RANK(BQ107,BQ$107:BQ$126)</f>
        <v/>
      </c>
      <c r="CE107">
        <f>RANK(G107,G$107:G$126)</f>
        <v/>
      </c>
      <c r="CF107">
        <f>RANK(T107,T$107:T$126)</f>
        <v/>
      </c>
      <c r="CG107">
        <f>RANK(H107,H$107:H$126,1)</f>
        <v/>
      </c>
      <c r="CH107">
        <f>RANK(U107,U$107:U$126,1)</f>
        <v/>
      </c>
      <c r="CI107">
        <f>RANK(I107,I$107:I$126,0)</f>
        <v/>
      </c>
      <c r="CJ107">
        <f>RANK(V107,V$107:V$126,0)</f>
        <v/>
      </c>
    </row>
    <row r="108">
      <c r="A108" s="3" t="inlineStr">
        <is>
          <t>Ipswich Town</t>
        </is>
      </c>
      <c r="B108" s="13" t="n">
        <v>3</v>
      </c>
      <c r="C108" s="13" t="n">
        <v>38</v>
      </c>
      <c r="D108" s="13" t="n">
        <v>38</v>
      </c>
      <c r="E108" s="38" t="n">
        <v>3420</v>
      </c>
      <c r="F108" s="13" t="n">
        <v>38</v>
      </c>
      <c r="G108" s="13" t="n">
        <v>82</v>
      </c>
      <c r="H108" s="13" t="n">
        <v>2.16</v>
      </c>
      <c r="I108" s="13" t="n">
        <v>210</v>
      </c>
      <c r="J108" s="13" t="n">
        <v>130</v>
      </c>
      <c r="K108" s="13" t="n">
        <v>63.8</v>
      </c>
      <c r="L108" s="13" t="n">
        <v>4</v>
      </c>
      <c r="M108" s="13" t="n">
        <v>10</v>
      </c>
      <c r="N108" s="13" t="n">
        <v>24</v>
      </c>
      <c r="O108" s="13" t="n">
        <v>2</v>
      </c>
      <c r="P108" s="13" t="n">
        <v>5.3</v>
      </c>
      <c r="Q108" s="13" t="n">
        <v>6</v>
      </c>
      <c r="R108" s="13" t="n">
        <v>6</v>
      </c>
      <c r="S108" s="13" t="n">
        <v>0</v>
      </c>
      <c r="T108" s="13" t="n">
        <v>0</v>
      </c>
      <c r="U108" s="13" t="n">
        <v>0</v>
      </c>
      <c r="AV108">
        <f>VLOOKUP(RIGHT(B108,LEN(B108)-11),Helpers!$B$4:$C$28,2,0)</f>
        <v/>
      </c>
      <c r="AW108">
        <f>IF(IF(COUNTIF(BT$107:BT$126,BT108)&gt;1,TRUE,FALSE),"T"&amp;BT108,BT108)</f>
        <v/>
      </c>
      <c r="AX108">
        <f>IF(IF(COUNTIF(BU$107:BU$126,BU108)&gt;1,TRUE,FALSE),"T"&amp;BU108,BU108)</f>
        <v/>
      </c>
      <c r="AY108">
        <f>IF(IF(COUNTIF(BV$107:BV$126,BV108)&gt;1,TRUE,FALSE),"T"&amp;BV108,BV108)</f>
        <v/>
      </c>
      <c r="AZ108">
        <f>IF(IF(COUNTIF(BW$107:BW$126,BW108)&gt;1,TRUE,FALSE),"T"&amp;BW108,BW108)</f>
        <v/>
      </c>
      <c r="BA108">
        <f>IF(IF(COUNTIF(BX$107:BX$126,BX108)&gt;1,TRUE,FALSE),"T"&amp;BX108,BX108)</f>
        <v/>
      </c>
      <c r="BB108">
        <f>IF(IF(COUNTIF(BY$107:BY$126,BY108)&gt;1,TRUE,FALSE),"T"&amp;BY108,BY108)</f>
        <v/>
      </c>
      <c r="BC108">
        <f>IF(IF(COUNTIF(BZ$107:BZ$126,BZ108)&gt;1,TRUE,FALSE),"T"&amp;BZ108,BZ108)</f>
        <v/>
      </c>
      <c r="BD108">
        <f>IF(IF(COUNTIF(CA$107:CA$126,CA108)&gt;1,TRUE,FALSE),"T"&amp;CA108,CA108)</f>
        <v/>
      </c>
      <c r="BE108" s="30">
        <f>IF(IF(COUNTIF(CB$107:CB$126,CB108)&gt;1,TRUE,FALSE),"T"&amp;CB108,CB108)</f>
        <v/>
      </c>
      <c r="BF108" s="30">
        <f>IF(IF(COUNTIF(CC$107:CC$126,CC108)&gt;1,TRUE,FALSE),"T"&amp;CC108,CC108)</f>
        <v/>
      </c>
      <c r="BG108">
        <f>IF(IF(COUNTIF(CD$107:CD$126,CD108)&gt;1,TRUE,FALSE),"T"&amp;CD108,CD108)</f>
        <v/>
      </c>
      <c r="BH108">
        <f>IF(IF(COUNTIF(CE$107:CE$126,CE108)&gt;1,TRUE,FALSE),"T"&amp;CE108,CE108)</f>
        <v/>
      </c>
      <c r="BI108">
        <f>IF(IF(COUNTIF(CF$107:CF$126,CF108)&gt;1,TRUE,FALSE),"T"&amp;CF108,CF108)</f>
        <v/>
      </c>
      <c r="BJ108">
        <f>IF(IF(COUNTIF(CG$107:CG$126,CG108)&gt;1,TRUE,FALSE),"T"&amp;CG108,CG108)</f>
        <v/>
      </c>
      <c r="BK108">
        <f>IF(IF(COUNTIF(CH$107:CH$126,CH108)&gt;1,TRUE,FALSE),"T"&amp;CH108,CH108)</f>
        <v/>
      </c>
      <c r="BL108">
        <f>IF(IF(COUNTIF(CI$107:CI$126,CI108)&gt;1,TRUE,FALSE),"T"&amp;CI108,CI108)</f>
        <v/>
      </c>
      <c r="BM108">
        <f>IF(IF(COUNTIF(CJ$107:CJ$126,CJ108)&gt;1,TRUE,FALSE),"T"&amp;CJ108,CJ108)</f>
        <v/>
      </c>
      <c r="BQ108" s="2">
        <f>SUM(J108,W108)/SUM(C108,P108)</f>
        <v/>
      </c>
      <c r="BT108">
        <f>RANK(D108,D$107:D$126)</f>
        <v/>
      </c>
      <c r="BU108">
        <f>RANK(Q108,Q$107:Q$126)</f>
        <v/>
      </c>
      <c r="BV108">
        <f>RANK(E108,E$107:E$126,1)</f>
        <v/>
      </c>
      <c r="BW108">
        <f>RANK(R108,R$107:R$126,1)</f>
        <v/>
      </c>
      <c r="BX108">
        <f>RANK(F108,F$107:F$126,1)</f>
        <v/>
      </c>
      <c r="BY108">
        <f>RANK(S108,S$107:S$126,1)</f>
        <v/>
      </c>
      <c r="BZ108">
        <f>RANK(J108,J$107:J$126)</f>
        <v/>
      </c>
      <c r="CA108">
        <f>RANK(W108,W$107:W$126)</f>
        <v/>
      </c>
      <c r="CB108">
        <f>RANK(K108,K$107:K$126)</f>
        <v/>
      </c>
      <c r="CC108">
        <f>RANK(X108,X$107:X$126)</f>
        <v/>
      </c>
      <c r="CD108" s="2">
        <f>RANK(BQ108,BQ$107:BQ$126)</f>
        <v/>
      </c>
      <c r="CE108">
        <f>RANK(G108,G$107:G$126)</f>
        <v/>
      </c>
      <c r="CF108">
        <f>RANK(T108,T$107:T$126)</f>
        <v/>
      </c>
      <c r="CG108">
        <f>RANK(H108,H$107:H$126,1)</f>
        <v/>
      </c>
      <c r="CH108">
        <f>RANK(U108,U$107:U$126,1)</f>
        <v/>
      </c>
      <c r="CI108">
        <f>RANK(I108,I$107:I$126,0)</f>
        <v/>
      </c>
      <c r="CJ108">
        <f>RANK(V108,V$107:V$126,0)</f>
        <v/>
      </c>
    </row>
    <row r="109" ht="15.95" customHeight="1" s="43">
      <c r="A109" s="3" t="inlineStr">
        <is>
          <t>Leicester City</t>
        </is>
      </c>
      <c r="B109" s="13" t="n">
        <v>3</v>
      </c>
      <c r="C109" s="13" t="n">
        <v>38</v>
      </c>
      <c r="D109" s="13" t="n">
        <v>38</v>
      </c>
      <c r="E109" s="38" t="n">
        <v>3420</v>
      </c>
      <c r="F109" s="13" t="n">
        <v>38</v>
      </c>
      <c r="G109" s="13" t="n">
        <v>80</v>
      </c>
      <c r="H109" s="13" t="n">
        <v>2.11</v>
      </c>
      <c r="I109" s="13" t="n">
        <v>209</v>
      </c>
      <c r="J109" s="13" t="n">
        <v>131</v>
      </c>
      <c r="K109" s="13" t="n">
        <v>63.2</v>
      </c>
      <c r="L109" s="13" t="n">
        <v>6</v>
      </c>
      <c r="M109" s="13" t="n">
        <v>7</v>
      </c>
      <c r="N109" s="13" t="n">
        <v>25</v>
      </c>
      <c r="O109" s="13" t="n">
        <v>3</v>
      </c>
      <c r="P109" s="13" t="n">
        <v>7.9</v>
      </c>
      <c r="Q109" s="13" t="n">
        <v>4</v>
      </c>
      <c r="R109" s="13" t="n">
        <v>3</v>
      </c>
      <c r="S109" s="13" t="n">
        <v>1</v>
      </c>
      <c r="T109" s="13" t="n">
        <v>0</v>
      </c>
      <c r="U109" s="13" t="n">
        <v>25</v>
      </c>
      <c r="AV109">
        <f>VLOOKUP(RIGHT(B109,LEN(B109)-11),Helpers!$B$4:$C$28,2,0)</f>
        <v/>
      </c>
      <c r="AW109">
        <f>IF(IF(COUNTIF(BT$107:BT$126,BT109)&gt;1,TRUE,FALSE),"T"&amp;BT109,BT109)</f>
        <v/>
      </c>
      <c r="AX109">
        <f>IF(IF(COUNTIF(BU$107:BU$126,BU109)&gt;1,TRUE,FALSE),"T"&amp;BU109,BU109)</f>
        <v/>
      </c>
      <c r="AY109">
        <f>IF(IF(COUNTIF(BV$107:BV$126,BV109)&gt;1,TRUE,FALSE),"T"&amp;BV109,BV109)</f>
        <v/>
      </c>
      <c r="AZ109">
        <f>IF(IF(COUNTIF(BW$107:BW$126,BW109)&gt;1,TRUE,FALSE),"T"&amp;BW109,BW109)</f>
        <v/>
      </c>
      <c r="BA109">
        <f>IF(IF(COUNTIF(BX$107:BX$126,BX109)&gt;1,TRUE,FALSE),"T"&amp;BX109,BX109)</f>
        <v/>
      </c>
      <c r="BB109">
        <f>IF(IF(COUNTIF(BY$107:BY$126,BY109)&gt;1,TRUE,FALSE),"T"&amp;BY109,BY109)</f>
        <v/>
      </c>
      <c r="BC109">
        <f>IF(IF(COUNTIF(BZ$107:BZ$126,BZ109)&gt;1,TRUE,FALSE),"T"&amp;BZ109,BZ109)</f>
        <v/>
      </c>
      <c r="BD109">
        <f>IF(IF(COUNTIF(CA$107:CA$126,CA109)&gt;1,TRUE,FALSE),"T"&amp;CA109,CA109)</f>
        <v/>
      </c>
      <c r="BE109" s="30">
        <f>IF(IF(COUNTIF(CB$107:CB$126,CB109)&gt;1,TRUE,FALSE),"T"&amp;CB109,CB109)</f>
        <v/>
      </c>
      <c r="BF109" s="30">
        <f>IF(IF(COUNTIF(CC$107:CC$126,CC109)&gt;1,TRUE,FALSE),"T"&amp;CC109,CC109)</f>
        <v/>
      </c>
      <c r="BG109">
        <f>IF(IF(COUNTIF(CD$107:CD$126,CD109)&gt;1,TRUE,FALSE),"T"&amp;CD109,CD109)</f>
        <v/>
      </c>
      <c r="BH109">
        <f>IF(IF(COUNTIF(CE$107:CE$126,CE109)&gt;1,TRUE,FALSE),"T"&amp;CE109,CE109)</f>
        <v/>
      </c>
      <c r="BI109">
        <f>IF(IF(COUNTIF(CF$107:CF$126,CF109)&gt;1,TRUE,FALSE),"T"&amp;CF109,CF109)</f>
        <v/>
      </c>
      <c r="BJ109">
        <f>IF(IF(COUNTIF(CG$107:CG$126,CG109)&gt;1,TRUE,FALSE),"T"&amp;CG109,CG109)</f>
        <v/>
      </c>
      <c r="BK109">
        <f>IF(IF(COUNTIF(CH$107:CH$126,CH109)&gt;1,TRUE,FALSE),"T"&amp;CH109,CH109)</f>
        <v/>
      </c>
      <c r="BL109">
        <f>IF(IF(COUNTIF(CI$107:CI$126,CI109)&gt;1,TRUE,FALSE),"T"&amp;CI109,CI109)</f>
        <v/>
      </c>
      <c r="BM109">
        <f>IF(IF(COUNTIF(CJ$107:CJ$126,CJ109)&gt;1,TRUE,FALSE),"T"&amp;CJ109,CJ109)</f>
        <v/>
      </c>
      <c r="BQ109" s="2">
        <f>SUM(J109,W109)/SUM(C109,P109)</f>
        <v/>
      </c>
      <c r="BT109">
        <f>RANK(D109,D$107:D$126)</f>
        <v/>
      </c>
      <c r="BU109">
        <f>RANK(Q109,Q$107:Q$126)</f>
        <v/>
      </c>
      <c r="BV109">
        <f>RANK(E109,E$107:E$126,1)</f>
        <v/>
      </c>
      <c r="BW109">
        <f>RANK(R109,R$107:R$126,1)</f>
        <v/>
      </c>
      <c r="BX109">
        <f>RANK(F109,F$107:F$126,1)</f>
        <v/>
      </c>
      <c r="BY109">
        <f>RANK(S109,S$107:S$126,1)</f>
        <v/>
      </c>
      <c r="BZ109">
        <f>RANK(J109,J$107:J$126)</f>
        <v/>
      </c>
      <c r="CA109">
        <f>RANK(W109,W$107:W$126)</f>
        <v/>
      </c>
      <c r="CB109">
        <f>RANK(K109,K$107:K$126)</f>
        <v/>
      </c>
      <c r="CC109">
        <f>RANK(X109,X$107:X$126)</f>
        <v/>
      </c>
      <c r="CD109" s="2">
        <f>RANK(BQ109,BQ$107:BQ$126)</f>
        <v/>
      </c>
      <c r="CE109">
        <f>RANK(G109,G$107:G$126)</f>
        <v/>
      </c>
      <c r="CF109">
        <f>RANK(T109,T$107:T$126)</f>
        <v/>
      </c>
      <c r="CG109">
        <f>RANK(H109,H$107:H$126,1)</f>
        <v/>
      </c>
      <c r="CH109">
        <f>RANK(U109,U$107:U$126,1)</f>
        <v/>
      </c>
      <c r="CI109">
        <f>RANK(I109,I$107:I$126,0)</f>
        <v/>
      </c>
      <c r="CJ109">
        <f>RANK(V109,V$107:V$126,0)</f>
        <v/>
      </c>
    </row>
    <row r="110">
      <c r="A110" s="3" t="inlineStr">
        <is>
          <t>Liverpool</t>
        </is>
      </c>
      <c r="B110" s="13" t="n">
        <v>3</v>
      </c>
      <c r="C110" s="13" t="n">
        <v>38</v>
      </c>
      <c r="D110" s="13" t="n">
        <v>38</v>
      </c>
      <c r="E110" s="38" t="n">
        <v>3420</v>
      </c>
      <c r="F110" s="13" t="n">
        <v>38</v>
      </c>
      <c r="G110" s="13" t="n">
        <v>41</v>
      </c>
      <c r="H110" s="13" t="n">
        <v>1.08</v>
      </c>
      <c r="I110" s="13" t="n">
        <v>138</v>
      </c>
      <c r="J110" s="13" t="n">
        <v>98</v>
      </c>
      <c r="K110" s="13" t="n">
        <v>71</v>
      </c>
      <c r="L110" s="13" t="n">
        <v>25</v>
      </c>
      <c r="M110" s="13" t="n">
        <v>9</v>
      </c>
      <c r="N110" s="13" t="n">
        <v>4</v>
      </c>
      <c r="O110" s="13" t="n">
        <v>14</v>
      </c>
      <c r="P110" s="13" t="n">
        <v>36.8</v>
      </c>
      <c r="Q110" s="13" t="n">
        <v>2</v>
      </c>
      <c r="R110" s="13" t="n">
        <v>1</v>
      </c>
      <c r="S110" s="13" t="n">
        <v>1</v>
      </c>
      <c r="T110" s="13" t="n">
        <v>0</v>
      </c>
      <c r="U110" s="13" t="n">
        <v>50</v>
      </c>
      <c r="AV110">
        <f>VLOOKUP(RIGHT(B110,LEN(B110)-11),Helpers!$B$4:$C$28,2,0)</f>
        <v/>
      </c>
      <c r="AW110">
        <f>IF(IF(COUNTIF(BT$107:BT$126,BT110)&gt;1,TRUE,FALSE),"T"&amp;BT110,BT110)</f>
        <v/>
      </c>
      <c r="AX110">
        <f>IF(IF(COUNTIF(BU$107:BU$126,BU110)&gt;1,TRUE,FALSE),"T"&amp;BU110,BU110)</f>
        <v/>
      </c>
      <c r="AY110">
        <f>IF(IF(COUNTIF(BV$107:BV$126,BV110)&gt;1,TRUE,FALSE),"T"&amp;BV110,BV110)</f>
        <v/>
      </c>
      <c r="AZ110">
        <f>IF(IF(COUNTIF(BW$107:BW$126,BW110)&gt;1,TRUE,FALSE),"T"&amp;BW110,BW110)</f>
        <v/>
      </c>
      <c r="BA110">
        <f>IF(IF(COUNTIF(BX$107:BX$126,BX110)&gt;1,TRUE,FALSE),"T"&amp;BX110,BX110)</f>
        <v/>
      </c>
      <c r="BB110">
        <f>IF(IF(COUNTIF(BY$107:BY$126,BY110)&gt;1,TRUE,FALSE),"T"&amp;BY110,BY110)</f>
        <v/>
      </c>
      <c r="BC110">
        <f>IF(IF(COUNTIF(BZ$107:BZ$126,BZ110)&gt;1,TRUE,FALSE),"T"&amp;BZ110,BZ110)</f>
        <v/>
      </c>
      <c r="BD110">
        <f>IF(IF(COUNTIF(CA$107:CA$126,CA110)&gt;1,TRUE,FALSE),"T"&amp;CA110,CA110)</f>
        <v/>
      </c>
      <c r="BE110" s="30">
        <f>IF(IF(COUNTIF(CB$107:CB$126,CB110)&gt;1,TRUE,FALSE),"T"&amp;CB110,CB110)</f>
        <v/>
      </c>
      <c r="BF110" s="30">
        <f>IF(IF(COUNTIF(CC$107:CC$126,CC110)&gt;1,TRUE,FALSE),"T"&amp;CC110,CC110)</f>
        <v/>
      </c>
      <c r="BG110">
        <f>IF(IF(COUNTIF(CD$107:CD$126,CD110)&gt;1,TRUE,FALSE),"T"&amp;CD110,CD110)</f>
        <v/>
      </c>
      <c r="BH110">
        <f>IF(IF(COUNTIF(CE$107:CE$126,CE110)&gt;1,TRUE,FALSE),"T"&amp;CE110,CE110)</f>
        <v/>
      </c>
      <c r="BI110">
        <f>IF(IF(COUNTIF(CF$107:CF$126,CF110)&gt;1,TRUE,FALSE),"T"&amp;CF110,CF110)</f>
        <v/>
      </c>
      <c r="BJ110">
        <f>IF(IF(COUNTIF(CG$107:CG$126,CG110)&gt;1,TRUE,FALSE),"T"&amp;CG110,CG110)</f>
        <v/>
      </c>
      <c r="BK110">
        <f>IF(IF(COUNTIF(CH$107:CH$126,CH110)&gt;1,TRUE,FALSE),"T"&amp;CH110,CH110)</f>
        <v/>
      </c>
      <c r="BL110">
        <f>IF(IF(COUNTIF(CI$107:CI$126,CI110)&gt;1,TRUE,FALSE),"T"&amp;CI110,CI110)</f>
        <v/>
      </c>
      <c r="BM110">
        <f>IF(IF(COUNTIF(CJ$107:CJ$126,CJ110)&gt;1,TRUE,FALSE),"T"&amp;CJ110,CJ110)</f>
        <v/>
      </c>
      <c r="BQ110" s="2">
        <f>SUM(J110,W110)/SUM(C110,P110)</f>
        <v/>
      </c>
      <c r="BT110">
        <f>RANK(D110,D$107:D$126)</f>
        <v/>
      </c>
      <c r="BU110">
        <f>RANK(Q110,Q$107:Q$126)</f>
        <v/>
      </c>
      <c r="BV110">
        <f>RANK(E110,E$107:E$126,1)</f>
        <v/>
      </c>
      <c r="BW110">
        <f>RANK(R110,R$107:R$126,1)</f>
        <v/>
      </c>
      <c r="BX110">
        <f>RANK(F110,F$107:F$126,1)</f>
        <v/>
      </c>
      <c r="BY110">
        <f>RANK(S110,S$107:S$126,1)</f>
        <v/>
      </c>
      <c r="BZ110">
        <f>RANK(J110,J$107:J$126)</f>
        <v/>
      </c>
      <c r="CA110">
        <f>RANK(W110,W$107:W$126)</f>
        <v/>
      </c>
      <c r="CB110">
        <f>RANK(K110,K$107:K$126)</f>
        <v/>
      </c>
      <c r="CC110">
        <f>RANK(X110,X$107:X$126)</f>
        <v/>
      </c>
      <c r="CD110" s="2">
        <f>RANK(BQ110,BQ$107:BQ$126)</f>
        <v/>
      </c>
      <c r="CE110">
        <f>RANK(G110,G$107:G$126)</f>
        <v/>
      </c>
      <c r="CF110">
        <f>RANK(T110,T$107:T$126)</f>
        <v/>
      </c>
      <c r="CG110">
        <f>RANK(H110,H$107:H$126,1)</f>
        <v/>
      </c>
      <c r="CH110">
        <f>RANK(U110,U$107:U$126,1)</f>
        <v/>
      </c>
      <c r="CI110">
        <f>RANK(I110,I$107:I$126,0)</f>
        <v/>
      </c>
      <c r="CJ110">
        <f>RANK(V110,V$107:V$126,0)</f>
        <v/>
      </c>
    </row>
    <row r="111" ht="18" customHeight="1" s="43">
      <c r="A111" s="3" t="inlineStr">
        <is>
          <t>Manchester City</t>
        </is>
      </c>
      <c r="B111" s="13" t="n">
        <v>2</v>
      </c>
      <c r="C111" s="13" t="n">
        <v>38</v>
      </c>
      <c r="D111" s="13" t="n">
        <v>38</v>
      </c>
      <c r="E111" s="38" t="n">
        <v>3420</v>
      </c>
      <c r="F111" s="13" t="n">
        <v>38</v>
      </c>
      <c r="G111" s="13" t="n">
        <v>44</v>
      </c>
      <c r="H111" s="13" t="n">
        <v>1.16</v>
      </c>
      <c r="I111" s="13" t="n">
        <v>128</v>
      </c>
      <c r="J111" s="13" t="n">
        <v>86</v>
      </c>
      <c r="K111" s="13" t="n">
        <v>68.8</v>
      </c>
      <c r="L111" s="13" t="n">
        <v>21</v>
      </c>
      <c r="M111" s="13" t="n">
        <v>8</v>
      </c>
      <c r="N111" s="13" t="n">
        <v>9</v>
      </c>
      <c r="O111" s="13" t="n">
        <v>13</v>
      </c>
      <c r="P111" s="13" t="n">
        <v>34.2</v>
      </c>
      <c r="Q111" s="13" t="n">
        <v>4</v>
      </c>
      <c r="R111" s="13" t="n">
        <v>4</v>
      </c>
      <c r="S111" s="13" t="n">
        <v>0</v>
      </c>
      <c r="T111" s="13" t="n">
        <v>0</v>
      </c>
      <c r="U111" s="13" t="n">
        <v>0</v>
      </c>
      <c r="AV111">
        <f>VLOOKUP(RIGHT(B111,LEN(B111)-11),Helpers!$B$4:$C$28,2,0)</f>
        <v/>
      </c>
      <c r="AW111">
        <f>IF(IF(COUNTIF(BT$107:BT$126,BT111)&gt;1,TRUE,FALSE),"T"&amp;BT111,BT111)</f>
        <v/>
      </c>
      <c r="AX111">
        <f>IF(IF(COUNTIF(BU$107:BU$126,BU111)&gt;1,TRUE,FALSE),"T"&amp;BU111,BU111)</f>
        <v/>
      </c>
      <c r="AY111">
        <f>IF(IF(COUNTIF(BV$107:BV$126,BV111)&gt;1,TRUE,FALSE),"T"&amp;BV111,BV111)</f>
        <v/>
      </c>
      <c r="AZ111">
        <f>IF(IF(COUNTIF(BW$107:BW$126,BW111)&gt;1,TRUE,FALSE),"T"&amp;BW111,BW111)</f>
        <v/>
      </c>
      <c r="BA111">
        <f>IF(IF(COUNTIF(BX$107:BX$126,BX111)&gt;1,TRUE,FALSE),"T"&amp;BX111,BX111)</f>
        <v/>
      </c>
      <c r="BB111">
        <f>IF(IF(COUNTIF(BY$107:BY$126,BY111)&gt;1,TRUE,FALSE),"T"&amp;BY111,BY111)</f>
        <v/>
      </c>
      <c r="BC111">
        <f>IF(IF(COUNTIF(BZ$107:BZ$126,BZ111)&gt;1,TRUE,FALSE),"T"&amp;BZ111,BZ111)</f>
        <v/>
      </c>
      <c r="BD111">
        <f>IF(IF(COUNTIF(CA$107:CA$126,CA111)&gt;1,TRUE,FALSE),"T"&amp;CA111,CA111)</f>
        <v/>
      </c>
      <c r="BE111" s="30">
        <f>IF(IF(COUNTIF(CB$107:CB$126,CB111)&gt;1,TRUE,FALSE),"T"&amp;CB111,CB111)</f>
        <v/>
      </c>
      <c r="BF111" s="30">
        <f>IF(IF(COUNTIF(CC$107:CC$126,CC111)&gt;1,TRUE,FALSE),"T"&amp;CC111,CC111)</f>
        <v/>
      </c>
      <c r="BG111">
        <f>IF(IF(COUNTIF(CD$107:CD$126,CD111)&gt;1,TRUE,FALSE),"T"&amp;CD111,CD111)</f>
        <v/>
      </c>
      <c r="BH111">
        <f>IF(IF(COUNTIF(CE$107:CE$126,CE111)&gt;1,TRUE,FALSE),"T"&amp;CE111,CE111)</f>
        <v/>
      </c>
      <c r="BI111">
        <f>IF(IF(COUNTIF(CF$107:CF$126,CF111)&gt;1,TRUE,FALSE),"T"&amp;CF111,CF111)</f>
        <v/>
      </c>
      <c r="BJ111">
        <f>IF(IF(COUNTIF(CG$107:CG$126,CG111)&gt;1,TRUE,FALSE),"T"&amp;CG111,CG111)</f>
        <v/>
      </c>
      <c r="BK111">
        <f>IF(IF(COUNTIF(CH$107:CH$126,CH111)&gt;1,TRUE,FALSE),"T"&amp;CH111,CH111)</f>
        <v/>
      </c>
      <c r="BL111">
        <f>IF(IF(COUNTIF(CI$107:CI$126,CI111)&gt;1,TRUE,FALSE),"T"&amp;CI111,CI111)</f>
        <v/>
      </c>
      <c r="BM111">
        <f>IF(IF(COUNTIF(CJ$107:CJ$126,CJ111)&gt;1,TRUE,FALSE),"T"&amp;CJ111,CJ111)</f>
        <v/>
      </c>
      <c r="BQ111" s="2">
        <f>SUM(J111,W111)/SUM(C111,P111)</f>
        <v/>
      </c>
      <c r="BT111">
        <f>RANK(D111,D$107:D$126)</f>
        <v/>
      </c>
      <c r="BU111">
        <f>RANK(Q111,Q$107:Q$126)</f>
        <v/>
      </c>
      <c r="BV111">
        <f>RANK(E111,E$107:E$126,1)</f>
        <v/>
      </c>
      <c r="BW111">
        <f>RANK(R111,R$107:R$126,1)</f>
        <v/>
      </c>
      <c r="BX111">
        <f>RANK(F111,F$107:F$126,1)</f>
        <v/>
      </c>
      <c r="BY111">
        <f>RANK(S111,S$107:S$126,1)</f>
        <v/>
      </c>
      <c r="BZ111">
        <f>RANK(J111,J$107:J$126)</f>
        <v/>
      </c>
      <c r="CA111">
        <f>RANK(W111,W$107:W$126)</f>
        <v/>
      </c>
      <c r="CB111">
        <f>RANK(K111,K$107:K$126)</f>
        <v/>
      </c>
      <c r="CC111">
        <f>RANK(X111,X$107:X$126)</f>
        <v/>
      </c>
      <c r="CD111" s="2">
        <f>RANK(BQ111,BQ$107:BQ$126)</f>
        <v/>
      </c>
      <c r="CE111">
        <f>RANK(G111,G$107:G$126)</f>
        <v/>
      </c>
      <c r="CF111">
        <f>RANK(T111,T$107:T$126)</f>
        <v/>
      </c>
      <c r="CG111">
        <f>RANK(H111,H$107:H$126,1)</f>
        <v/>
      </c>
      <c r="CH111">
        <f>RANK(U111,U$107:U$126,1)</f>
        <v/>
      </c>
      <c r="CI111">
        <f>RANK(I111,I$107:I$126,0)</f>
        <v/>
      </c>
      <c r="CJ111">
        <f>RANK(V111,V$107:V$126,0)</f>
        <v/>
      </c>
    </row>
    <row r="112" ht="17.1" customHeight="1" s="43">
      <c r="A112" s="3" t="inlineStr">
        <is>
          <t>Manchester Utd</t>
        </is>
      </c>
      <c r="B112" s="13" t="n">
        <v>2</v>
      </c>
      <c r="C112" s="13" t="n">
        <v>38</v>
      </c>
      <c r="D112" s="13" t="n">
        <v>38</v>
      </c>
      <c r="E112" s="38" t="n">
        <v>3420</v>
      </c>
      <c r="F112" s="13" t="n">
        <v>38</v>
      </c>
      <c r="G112" s="13" t="n">
        <v>54</v>
      </c>
      <c r="H112" s="13" t="n">
        <v>1.42</v>
      </c>
      <c r="I112" s="13" t="n">
        <v>149</v>
      </c>
      <c r="J112" s="13" t="n">
        <v>96</v>
      </c>
      <c r="K112" s="13" t="n">
        <v>65.8</v>
      </c>
      <c r="L112" s="13" t="n">
        <v>11</v>
      </c>
      <c r="M112" s="13" t="n">
        <v>9</v>
      </c>
      <c r="N112" s="13" t="n">
        <v>18</v>
      </c>
      <c r="O112" s="13" t="n">
        <v>10</v>
      </c>
      <c r="P112" s="13" t="n">
        <v>26.3</v>
      </c>
      <c r="Q112" s="13" t="n">
        <v>4</v>
      </c>
      <c r="R112" s="13" t="n">
        <v>3</v>
      </c>
      <c r="S112" s="13" t="n">
        <v>1</v>
      </c>
      <c r="T112" s="13" t="n">
        <v>0</v>
      </c>
      <c r="U112" s="13" t="n">
        <v>25</v>
      </c>
      <c r="AV112">
        <f>VLOOKUP(RIGHT(B112,LEN(B112)-11),Helpers!$B$4:$C$28,2,0)</f>
        <v/>
      </c>
      <c r="AW112">
        <f>IF(IF(COUNTIF(BT$107:BT$126,BT112)&gt;1,TRUE,FALSE),"T"&amp;BT112,BT112)</f>
        <v/>
      </c>
      <c r="AX112">
        <f>IF(IF(COUNTIF(BU$107:BU$126,BU112)&gt;1,TRUE,FALSE),"T"&amp;BU112,BU112)</f>
        <v/>
      </c>
      <c r="AY112">
        <f>IF(IF(COUNTIF(BV$107:BV$126,BV112)&gt;1,TRUE,FALSE),"T"&amp;BV112,BV112)</f>
        <v/>
      </c>
      <c r="AZ112">
        <f>IF(IF(COUNTIF(BW$107:BW$126,BW112)&gt;1,TRUE,FALSE),"T"&amp;BW112,BW112)</f>
        <v/>
      </c>
      <c r="BA112">
        <f>IF(IF(COUNTIF(BX$107:BX$126,BX112)&gt;1,TRUE,FALSE),"T"&amp;BX112,BX112)</f>
        <v/>
      </c>
      <c r="BB112">
        <f>IF(IF(COUNTIF(BY$107:BY$126,BY112)&gt;1,TRUE,FALSE),"T"&amp;BY112,BY112)</f>
        <v/>
      </c>
      <c r="BC112">
        <f>IF(IF(COUNTIF(BZ$107:BZ$126,BZ112)&gt;1,TRUE,FALSE),"T"&amp;BZ112,BZ112)</f>
        <v/>
      </c>
      <c r="BD112">
        <f>IF(IF(COUNTIF(CA$107:CA$126,CA112)&gt;1,TRUE,FALSE),"T"&amp;CA112,CA112)</f>
        <v/>
      </c>
      <c r="BE112" s="30">
        <f>IF(IF(COUNTIF(CB$107:CB$126,CB112)&gt;1,TRUE,FALSE),"T"&amp;CB112,CB112)</f>
        <v/>
      </c>
      <c r="BF112" s="30">
        <f>IF(IF(COUNTIF(CC$107:CC$126,CC112)&gt;1,TRUE,FALSE),"T"&amp;CC112,CC112)</f>
        <v/>
      </c>
      <c r="BG112">
        <f>IF(IF(COUNTIF(CD$107:CD$126,CD112)&gt;1,TRUE,FALSE),"T"&amp;CD112,CD112)</f>
        <v/>
      </c>
      <c r="BH112">
        <f>IF(IF(COUNTIF(CE$107:CE$126,CE112)&gt;1,TRUE,FALSE),"T"&amp;CE112,CE112)</f>
        <v/>
      </c>
      <c r="BI112">
        <f>IF(IF(COUNTIF(CF$107:CF$126,CF112)&gt;1,TRUE,FALSE),"T"&amp;CF112,CF112)</f>
        <v/>
      </c>
      <c r="BJ112">
        <f>IF(IF(COUNTIF(CG$107:CG$126,CG112)&gt;1,TRUE,FALSE),"T"&amp;CG112,CG112)</f>
        <v/>
      </c>
      <c r="BK112">
        <f>IF(IF(COUNTIF(CH$107:CH$126,CH112)&gt;1,TRUE,FALSE),"T"&amp;CH112,CH112)</f>
        <v/>
      </c>
      <c r="BL112">
        <f>IF(IF(COUNTIF(CI$107:CI$126,CI112)&gt;1,TRUE,FALSE),"T"&amp;CI112,CI112)</f>
        <v/>
      </c>
      <c r="BM112">
        <f>IF(IF(COUNTIF(CJ$107:CJ$126,CJ112)&gt;1,TRUE,FALSE),"T"&amp;CJ112,CJ112)</f>
        <v/>
      </c>
      <c r="BQ112" s="2">
        <f>SUM(J112,W112)/SUM(C112,P112)</f>
        <v/>
      </c>
      <c r="BT112">
        <f>RANK(D112,D$107:D$126)</f>
        <v/>
      </c>
      <c r="BU112">
        <f>RANK(Q112,Q$107:Q$126)</f>
        <v/>
      </c>
      <c r="BV112">
        <f>RANK(E112,E$107:E$126,1)</f>
        <v/>
      </c>
      <c r="BW112">
        <f>RANK(R112,R$107:R$126,1)</f>
        <v/>
      </c>
      <c r="BX112">
        <f>RANK(F112,F$107:F$126,1)</f>
        <v/>
      </c>
      <c r="BY112">
        <f>RANK(S112,S$107:S$126,1)</f>
        <v/>
      </c>
      <c r="BZ112">
        <f>RANK(J112,J$107:J$126)</f>
        <v/>
      </c>
      <c r="CA112">
        <f>RANK(W112,W$107:W$126)</f>
        <v/>
      </c>
      <c r="CB112">
        <f>RANK(K112,K$107:K$126)</f>
        <v/>
      </c>
      <c r="CC112">
        <f>RANK(X112,X$107:X$126)</f>
        <v/>
      </c>
      <c r="CD112" s="2">
        <f>RANK(BQ112,BQ$107:BQ$126)</f>
        <v/>
      </c>
      <c r="CE112">
        <f>RANK(G112,G$107:G$126)</f>
        <v/>
      </c>
      <c r="CF112">
        <f>RANK(T112,T$107:T$126)</f>
        <v/>
      </c>
      <c r="CG112">
        <f>RANK(H112,H$107:H$126,1)</f>
        <v/>
      </c>
      <c r="CH112">
        <f>RANK(U112,U$107:U$126,1)</f>
        <v/>
      </c>
      <c r="CI112">
        <f>RANK(I112,I$107:I$126,0)</f>
        <v/>
      </c>
      <c r="CJ112">
        <f>RANK(V112,V$107:V$126,0)</f>
        <v/>
      </c>
    </row>
    <row r="113">
      <c r="A113" s="3" t="inlineStr">
        <is>
          <t>Newcastle Utd</t>
        </is>
      </c>
      <c r="B113" s="13" t="n">
        <v>2</v>
      </c>
      <c r="C113" s="13" t="n">
        <v>38</v>
      </c>
      <c r="D113" s="13" t="n">
        <v>38</v>
      </c>
      <c r="E113" s="38" t="n">
        <v>3420</v>
      </c>
      <c r="F113" s="13" t="n">
        <v>38</v>
      </c>
      <c r="G113" s="13" t="n">
        <v>47</v>
      </c>
      <c r="H113" s="13" t="n">
        <v>1.24</v>
      </c>
      <c r="I113" s="13" t="n">
        <v>161</v>
      </c>
      <c r="J113" s="13" t="n">
        <v>115</v>
      </c>
      <c r="K113" s="13" t="n">
        <v>71.40000000000001</v>
      </c>
      <c r="L113" s="13" t="n">
        <v>20</v>
      </c>
      <c r="M113" s="13" t="n">
        <v>6</v>
      </c>
      <c r="N113" s="13" t="n">
        <v>12</v>
      </c>
      <c r="O113" s="13" t="n">
        <v>13</v>
      </c>
      <c r="P113" s="13" t="n">
        <v>34.2</v>
      </c>
      <c r="Q113" s="13" t="n">
        <v>2</v>
      </c>
      <c r="R113" s="13" t="n">
        <v>1</v>
      </c>
      <c r="S113" s="13" t="n">
        <v>1</v>
      </c>
      <c r="T113" s="13" t="n">
        <v>0</v>
      </c>
      <c r="U113" s="13" t="n">
        <v>50</v>
      </c>
      <c r="AV113">
        <f>VLOOKUP(RIGHT(B113,LEN(B113)-11),Helpers!$B$4:$C$28,2,0)</f>
        <v/>
      </c>
      <c r="AW113">
        <f>IF(IF(COUNTIF(BT$107:BT$126,BT113)&gt;1,TRUE,FALSE),"T"&amp;BT113,BT113)</f>
        <v/>
      </c>
      <c r="AX113">
        <f>IF(IF(COUNTIF(BU$107:BU$126,BU113)&gt;1,TRUE,FALSE),"T"&amp;BU113,BU113)</f>
        <v/>
      </c>
      <c r="AY113">
        <f>IF(IF(COUNTIF(BV$107:BV$126,BV113)&gt;1,TRUE,FALSE),"T"&amp;BV113,BV113)</f>
        <v/>
      </c>
      <c r="AZ113">
        <f>IF(IF(COUNTIF(BW$107:BW$126,BW113)&gt;1,TRUE,FALSE),"T"&amp;BW113,BW113)</f>
        <v/>
      </c>
      <c r="BA113">
        <f>IF(IF(COUNTIF(BX$107:BX$126,BX113)&gt;1,TRUE,FALSE),"T"&amp;BX113,BX113)</f>
        <v/>
      </c>
      <c r="BB113">
        <f>IF(IF(COUNTIF(BY$107:BY$126,BY113)&gt;1,TRUE,FALSE),"T"&amp;BY113,BY113)</f>
        <v/>
      </c>
      <c r="BC113">
        <f>IF(IF(COUNTIF(BZ$107:BZ$126,BZ113)&gt;1,TRUE,FALSE),"T"&amp;BZ113,BZ113)</f>
        <v/>
      </c>
      <c r="BD113">
        <f>IF(IF(COUNTIF(CA$107:CA$126,CA113)&gt;1,TRUE,FALSE),"T"&amp;CA113,CA113)</f>
        <v/>
      </c>
      <c r="BE113" s="30">
        <f>IF(IF(COUNTIF(CB$107:CB$126,CB113)&gt;1,TRUE,FALSE),"T"&amp;CB113,CB113)</f>
        <v/>
      </c>
      <c r="BF113" s="30">
        <f>IF(IF(COUNTIF(CC$107:CC$126,CC113)&gt;1,TRUE,FALSE),"T"&amp;CC113,CC113)</f>
        <v/>
      </c>
      <c r="BG113">
        <f>IF(IF(COUNTIF(CD$107:CD$126,CD113)&gt;1,TRUE,FALSE),"T"&amp;CD113,CD113)</f>
        <v/>
      </c>
      <c r="BH113">
        <f>IF(IF(COUNTIF(CE$107:CE$126,CE113)&gt;1,TRUE,FALSE),"T"&amp;CE113,CE113)</f>
        <v/>
      </c>
      <c r="BI113">
        <f>IF(IF(COUNTIF(CF$107:CF$126,CF113)&gt;1,TRUE,FALSE),"T"&amp;CF113,CF113)</f>
        <v/>
      </c>
      <c r="BJ113">
        <f>IF(IF(COUNTIF(CG$107:CG$126,CG113)&gt;1,TRUE,FALSE),"T"&amp;CG113,CG113)</f>
        <v/>
      </c>
      <c r="BK113">
        <f>IF(IF(COUNTIF(CH$107:CH$126,CH113)&gt;1,TRUE,FALSE),"T"&amp;CH113,CH113)</f>
        <v/>
      </c>
      <c r="BL113">
        <f>IF(IF(COUNTIF(CI$107:CI$126,CI113)&gt;1,TRUE,FALSE),"T"&amp;CI113,CI113)</f>
        <v/>
      </c>
      <c r="BM113">
        <f>IF(IF(COUNTIF(CJ$107:CJ$126,CJ113)&gt;1,TRUE,FALSE),"T"&amp;CJ113,CJ113)</f>
        <v/>
      </c>
      <c r="BQ113" s="2">
        <f>SUM(J113,W113)/SUM(C113,P113)</f>
        <v/>
      </c>
      <c r="BT113">
        <f>RANK(D113,D$107:D$126)</f>
        <v/>
      </c>
      <c r="BU113">
        <f>RANK(Q113,Q$107:Q$126)</f>
        <v/>
      </c>
      <c r="BV113">
        <f>RANK(E113,E$107:E$126,1)</f>
        <v/>
      </c>
      <c r="BW113">
        <f>RANK(R113,R$107:R$126,1)</f>
        <v/>
      </c>
      <c r="BX113">
        <f>RANK(F113,F$107:F$126,1)</f>
        <v/>
      </c>
      <c r="BY113">
        <f>RANK(S113,S$107:S$126,1)</f>
        <v/>
      </c>
      <c r="BZ113">
        <f>RANK(J113,J$107:J$126)</f>
        <v/>
      </c>
      <c r="CA113">
        <f>RANK(W113,W$107:W$126)</f>
        <v/>
      </c>
      <c r="CB113">
        <f>RANK(K113,K$107:K$126)</f>
        <v/>
      </c>
      <c r="CC113">
        <f>RANK(X113,X$107:X$126)</f>
        <v/>
      </c>
      <c r="CD113" s="2">
        <f>RANK(BQ113,BQ$107:BQ$126)</f>
        <v/>
      </c>
      <c r="CE113">
        <f>RANK(G113,G$107:G$126)</f>
        <v/>
      </c>
      <c r="CF113">
        <f>RANK(T113,T$107:T$126)</f>
        <v/>
      </c>
      <c r="CG113">
        <f>RANK(H113,H$107:H$126,1)</f>
        <v/>
      </c>
      <c r="CH113">
        <f>RANK(U113,U$107:U$126,1)</f>
        <v/>
      </c>
      <c r="CI113">
        <f>RANK(I113,I$107:I$126,0)</f>
        <v/>
      </c>
      <c r="CJ113">
        <f>RANK(V113,V$107:V$126,0)</f>
        <v/>
      </c>
    </row>
    <row r="114">
      <c r="A114" s="3" t="inlineStr">
        <is>
          <t>Nott'ham Forest</t>
        </is>
      </c>
      <c r="B114" s="13" t="n">
        <v>1</v>
      </c>
      <c r="C114" s="13" t="n">
        <v>38</v>
      </c>
      <c r="D114" s="13" t="n">
        <v>38</v>
      </c>
      <c r="E114" s="38" t="n">
        <v>3420</v>
      </c>
      <c r="F114" s="13" t="n">
        <v>38</v>
      </c>
      <c r="G114" s="13" t="n">
        <v>46</v>
      </c>
      <c r="H114" s="13" t="n">
        <v>1.21</v>
      </c>
      <c r="I114" s="13" t="n">
        <v>165</v>
      </c>
      <c r="J114" s="13" t="n">
        <v>119</v>
      </c>
      <c r="K114" s="13" t="n">
        <v>73.90000000000001</v>
      </c>
      <c r="L114" s="13" t="n">
        <v>19</v>
      </c>
      <c r="M114" s="13" t="n">
        <v>8</v>
      </c>
      <c r="N114" s="13" t="n">
        <v>11</v>
      </c>
      <c r="O114" s="13" t="n">
        <v>13</v>
      </c>
      <c r="P114" s="13" t="n">
        <v>34.2</v>
      </c>
      <c r="Q114" s="13" t="n">
        <v>3</v>
      </c>
      <c r="R114" s="13" t="n">
        <v>3</v>
      </c>
      <c r="S114" s="13" t="n">
        <v>0</v>
      </c>
      <c r="T114" s="13" t="n">
        <v>0</v>
      </c>
      <c r="U114" s="13" t="n">
        <v>0</v>
      </c>
      <c r="AV114">
        <f>VLOOKUP(RIGHT(B114,LEN(B114)-11),Helpers!$B$4:$C$28,2,0)</f>
        <v/>
      </c>
      <c r="AW114">
        <f>IF(IF(COUNTIF(BT$107:BT$126,BT114)&gt;1,TRUE,FALSE),"T"&amp;BT114,BT114)</f>
        <v/>
      </c>
      <c r="AX114">
        <f>IF(IF(COUNTIF(BU$107:BU$126,BU114)&gt;1,TRUE,FALSE),"T"&amp;BU114,BU114)</f>
        <v/>
      </c>
      <c r="AY114">
        <f>IF(IF(COUNTIF(BV$107:BV$126,BV114)&gt;1,TRUE,FALSE),"T"&amp;BV114,BV114)</f>
        <v/>
      </c>
      <c r="AZ114">
        <f>IF(IF(COUNTIF(BW$107:BW$126,BW114)&gt;1,TRUE,FALSE),"T"&amp;BW114,BW114)</f>
        <v/>
      </c>
      <c r="BA114">
        <f>IF(IF(COUNTIF(BX$107:BX$126,BX114)&gt;1,TRUE,FALSE),"T"&amp;BX114,BX114)</f>
        <v/>
      </c>
      <c r="BB114">
        <f>IF(IF(COUNTIF(BY$107:BY$126,BY114)&gt;1,TRUE,FALSE),"T"&amp;BY114,BY114)</f>
        <v/>
      </c>
      <c r="BC114">
        <f>IF(IF(COUNTIF(BZ$107:BZ$126,BZ114)&gt;1,TRUE,FALSE),"T"&amp;BZ114,BZ114)</f>
        <v/>
      </c>
      <c r="BD114">
        <f>IF(IF(COUNTIF(CA$107:CA$126,CA114)&gt;1,TRUE,FALSE),"T"&amp;CA114,CA114)</f>
        <v/>
      </c>
      <c r="BE114" s="30">
        <f>IF(IF(COUNTIF(CB$107:CB$126,CB114)&gt;1,TRUE,FALSE),"T"&amp;CB114,CB114)</f>
        <v/>
      </c>
      <c r="BF114" s="30">
        <f>IF(IF(COUNTIF(CC$107:CC$126,CC114)&gt;1,TRUE,FALSE),"T"&amp;CC114,CC114)</f>
        <v/>
      </c>
      <c r="BG114">
        <f>IF(IF(COUNTIF(CD$107:CD$126,CD114)&gt;1,TRUE,FALSE),"T"&amp;CD114,CD114)</f>
        <v/>
      </c>
      <c r="BH114">
        <f>IF(IF(COUNTIF(CE$107:CE$126,CE114)&gt;1,TRUE,FALSE),"T"&amp;CE114,CE114)</f>
        <v/>
      </c>
      <c r="BI114">
        <f>IF(IF(COUNTIF(CF$107:CF$126,CF114)&gt;1,TRUE,FALSE),"T"&amp;CF114,CF114)</f>
        <v/>
      </c>
      <c r="BJ114">
        <f>IF(IF(COUNTIF(CG$107:CG$126,CG114)&gt;1,TRUE,FALSE),"T"&amp;CG114,CG114)</f>
        <v/>
      </c>
      <c r="BK114">
        <f>IF(IF(COUNTIF(CH$107:CH$126,CH114)&gt;1,TRUE,FALSE),"T"&amp;CH114,CH114)</f>
        <v/>
      </c>
      <c r="BL114">
        <f>IF(IF(COUNTIF(CI$107:CI$126,CI114)&gt;1,TRUE,FALSE),"T"&amp;CI114,CI114)</f>
        <v/>
      </c>
      <c r="BM114">
        <f>IF(IF(COUNTIF(CJ$107:CJ$126,CJ114)&gt;1,TRUE,FALSE),"T"&amp;CJ114,CJ114)</f>
        <v/>
      </c>
      <c r="BQ114" s="2">
        <f>SUM(J114,W114)/SUM(C114,P114)</f>
        <v/>
      </c>
      <c r="BT114">
        <f>RANK(D114,D$107:D$126)</f>
        <v/>
      </c>
      <c r="BU114">
        <f>RANK(Q114,Q$107:Q$126)</f>
        <v/>
      </c>
      <c r="BV114">
        <f>RANK(E114,E$107:E$126,1)</f>
        <v/>
      </c>
      <c r="BW114">
        <f>RANK(R114,R$107:R$126,1)</f>
        <v/>
      </c>
      <c r="BX114">
        <f>RANK(F114,F$107:F$126,1)</f>
        <v/>
      </c>
      <c r="BY114">
        <f>RANK(S114,S$107:S$126,1)</f>
        <v/>
      </c>
      <c r="BZ114">
        <f>RANK(J114,J$107:J$126)</f>
        <v/>
      </c>
      <c r="CA114">
        <f>RANK(W114,W$107:W$126)</f>
        <v/>
      </c>
      <c r="CB114">
        <f>RANK(K114,K$107:K$126)</f>
        <v/>
      </c>
      <c r="CC114">
        <f>RANK(X114,X$107:X$126)</f>
        <v/>
      </c>
      <c r="CD114" s="2">
        <f>RANK(BQ114,BQ$107:BQ$126)</f>
        <v/>
      </c>
      <c r="CE114">
        <f>RANK(G114,G$107:G$126)</f>
        <v/>
      </c>
      <c r="CF114">
        <f>RANK(T114,T$107:T$126)</f>
        <v/>
      </c>
      <c r="CG114">
        <f>RANK(H114,H$107:H$126,1)</f>
        <v/>
      </c>
      <c r="CH114">
        <f>RANK(U114,U$107:U$126,1)</f>
        <v/>
      </c>
      <c r="CI114">
        <f>RANK(I114,I$107:I$126,0)</f>
        <v/>
      </c>
      <c r="CJ114">
        <f>RANK(V114,V$107:V$126,0)</f>
        <v/>
      </c>
    </row>
    <row r="115" ht="17.1" customHeight="1" s="43">
      <c r="A115" s="3" t="inlineStr">
        <is>
          <t>Southampton</t>
        </is>
      </c>
      <c r="B115" s="13" t="n">
        <v>3</v>
      </c>
      <c r="C115" s="13" t="n">
        <v>38</v>
      </c>
      <c r="D115" s="13" t="n">
        <v>38</v>
      </c>
      <c r="E115" s="38" t="n">
        <v>3420</v>
      </c>
      <c r="F115" s="13" t="n">
        <v>38</v>
      </c>
      <c r="G115" s="13" t="n">
        <v>86</v>
      </c>
      <c r="H115" s="13" t="n">
        <v>2.26</v>
      </c>
      <c r="I115" s="13" t="n">
        <v>245</v>
      </c>
      <c r="J115" s="13" t="n">
        <v>157</v>
      </c>
      <c r="K115" s="13" t="n">
        <v>67.8</v>
      </c>
      <c r="L115" s="13" t="n">
        <v>2</v>
      </c>
      <c r="M115" s="13" t="n">
        <v>6</v>
      </c>
      <c r="N115" s="13" t="n">
        <v>30</v>
      </c>
      <c r="O115" s="13" t="n">
        <v>3</v>
      </c>
      <c r="P115" s="13" t="n">
        <v>7.9</v>
      </c>
      <c r="Q115" s="13" t="n">
        <v>9</v>
      </c>
      <c r="R115" s="13" t="n">
        <v>7</v>
      </c>
      <c r="S115" s="13" t="n">
        <v>2</v>
      </c>
      <c r="T115" s="13" t="n">
        <v>0</v>
      </c>
      <c r="U115" s="13" t="n">
        <v>22.2</v>
      </c>
      <c r="AV115">
        <f>VLOOKUP(RIGHT(B115,LEN(B115)-11),Helpers!$B$4:$C$28,2,0)</f>
        <v/>
      </c>
      <c r="AW115">
        <f>IF(IF(COUNTIF(BT$107:BT$126,BT115)&gt;1,TRUE,FALSE),"T"&amp;BT115,BT115)</f>
        <v/>
      </c>
      <c r="AX115">
        <f>IF(IF(COUNTIF(BU$107:BU$126,BU115)&gt;1,TRUE,FALSE),"T"&amp;BU115,BU115)</f>
        <v/>
      </c>
      <c r="AY115">
        <f>IF(IF(COUNTIF(BV$107:BV$126,BV115)&gt;1,TRUE,FALSE),"T"&amp;BV115,BV115)</f>
        <v/>
      </c>
      <c r="AZ115">
        <f>IF(IF(COUNTIF(BW$107:BW$126,BW115)&gt;1,TRUE,FALSE),"T"&amp;BW115,BW115)</f>
        <v/>
      </c>
      <c r="BA115">
        <f>IF(IF(COUNTIF(BX$107:BX$126,BX115)&gt;1,TRUE,FALSE),"T"&amp;BX115,BX115)</f>
        <v/>
      </c>
      <c r="BB115">
        <f>IF(IF(COUNTIF(BY$107:BY$126,BY115)&gt;1,TRUE,FALSE),"T"&amp;BY115,BY115)</f>
        <v/>
      </c>
      <c r="BC115">
        <f>IF(IF(COUNTIF(BZ$107:BZ$126,BZ115)&gt;1,TRUE,FALSE),"T"&amp;BZ115,BZ115)</f>
        <v/>
      </c>
      <c r="BD115">
        <f>IF(IF(COUNTIF(CA$107:CA$126,CA115)&gt;1,TRUE,FALSE),"T"&amp;CA115,CA115)</f>
        <v/>
      </c>
      <c r="BE115" s="30">
        <f>IF(IF(COUNTIF(CB$107:CB$126,CB115)&gt;1,TRUE,FALSE),"T"&amp;CB115,CB115)</f>
        <v/>
      </c>
      <c r="BF115" s="30">
        <f>IF(IF(COUNTIF(CC$107:CC$126,CC115)&gt;1,TRUE,FALSE),"T"&amp;CC115,CC115)</f>
        <v/>
      </c>
      <c r="BG115">
        <f>IF(IF(COUNTIF(CD$107:CD$126,CD115)&gt;1,TRUE,FALSE),"T"&amp;CD115,CD115)</f>
        <v/>
      </c>
      <c r="BH115">
        <f>IF(IF(COUNTIF(CE$107:CE$126,CE115)&gt;1,TRUE,FALSE),"T"&amp;CE115,CE115)</f>
        <v/>
      </c>
      <c r="BI115">
        <f>IF(IF(COUNTIF(CF$107:CF$126,CF115)&gt;1,TRUE,FALSE),"T"&amp;CF115,CF115)</f>
        <v/>
      </c>
      <c r="BJ115">
        <f>IF(IF(COUNTIF(CG$107:CG$126,CG115)&gt;1,TRUE,FALSE),"T"&amp;CG115,CG115)</f>
        <v/>
      </c>
      <c r="BK115">
        <f>IF(IF(COUNTIF(CH$107:CH$126,CH115)&gt;1,TRUE,FALSE),"T"&amp;CH115,CH115)</f>
        <v/>
      </c>
      <c r="BL115">
        <f>IF(IF(COUNTIF(CI$107:CI$126,CI115)&gt;1,TRUE,FALSE),"T"&amp;CI115,CI115)</f>
        <v/>
      </c>
      <c r="BM115">
        <f>IF(IF(COUNTIF(CJ$107:CJ$126,CJ115)&gt;1,TRUE,FALSE),"T"&amp;CJ115,CJ115)</f>
        <v/>
      </c>
      <c r="BQ115" s="2">
        <f>SUM(J115,W115)/SUM(C115,P115)</f>
        <v/>
      </c>
      <c r="BT115">
        <f>RANK(D115,D$107:D$126)</f>
        <v/>
      </c>
      <c r="BU115">
        <f>RANK(Q115,Q$107:Q$126)</f>
        <v/>
      </c>
      <c r="BV115">
        <f>RANK(E115,E$107:E$126,1)</f>
        <v/>
      </c>
      <c r="BW115">
        <f>RANK(R115,R$107:R$126,1)</f>
        <v/>
      </c>
      <c r="BX115">
        <f>RANK(F115,F$107:F$126,1)</f>
        <v/>
      </c>
      <c r="BY115">
        <f>RANK(S115,S$107:S$126,1)</f>
        <v/>
      </c>
      <c r="BZ115">
        <f>RANK(J115,J$107:J$126)</f>
        <v/>
      </c>
      <c r="CA115">
        <f>RANK(W115,W$107:W$126)</f>
        <v/>
      </c>
      <c r="CB115">
        <f>RANK(K115,K$107:K$126)</f>
        <v/>
      </c>
      <c r="CC115">
        <f>RANK(X115,X$107:X$126)</f>
        <v/>
      </c>
      <c r="CD115" s="2">
        <f>RANK(BQ115,BQ$107:BQ$126)</f>
        <v/>
      </c>
      <c r="CE115">
        <f>RANK(G115,G$107:G$126)</f>
        <v/>
      </c>
      <c r="CF115">
        <f>RANK(T115,T$107:T$126)</f>
        <v/>
      </c>
      <c r="CG115">
        <f>RANK(H115,H$107:H$126,1)</f>
        <v/>
      </c>
      <c r="CH115">
        <f>RANK(U115,U$107:U$126,1)</f>
        <v/>
      </c>
      <c r="CI115">
        <f>RANK(I115,I$107:I$126,0)</f>
        <v/>
      </c>
      <c r="CJ115">
        <f>RANK(V115,V$107:V$126,0)</f>
        <v/>
      </c>
    </row>
    <row r="116">
      <c r="A116" s="3" t="inlineStr">
        <is>
          <t>Tottenham</t>
        </is>
      </c>
      <c r="B116" s="13" t="n">
        <v>4</v>
      </c>
      <c r="C116" s="13" t="n">
        <v>38</v>
      </c>
      <c r="D116" s="13" t="n">
        <v>38</v>
      </c>
      <c r="E116" s="38" t="n">
        <v>3420</v>
      </c>
      <c r="F116" s="13" t="n">
        <v>38</v>
      </c>
      <c r="G116" s="13" t="n">
        <v>65</v>
      </c>
      <c r="H116" s="13" t="n">
        <v>1.71</v>
      </c>
      <c r="I116" s="13" t="n">
        <v>180</v>
      </c>
      <c r="J116" s="13" t="n">
        <v>119</v>
      </c>
      <c r="K116" s="13" t="n">
        <v>65.59999999999999</v>
      </c>
      <c r="L116" s="13" t="n">
        <v>11</v>
      </c>
      <c r="M116" s="13" t="n">
        <v>5</v>
      </c>
      <c r="N116" s="13" t="n">
        <v>22</v>
      </c>
      <c r="O116" s="13" t="n">
        <v>6</v>
      </c>
      <c r="P116" s="13" t="n">
        <v>15.8</v>
      </c>
      <c r="Q116" s="13" t="n">
        <v>3</v>
      </c>
      <c r="R116" s="13" t="n">
        <v>3</v>
      </c>
      <c r="S116" s="13" t="n">
        <v>0</v>
      </c>
      <c r="T116" s="13" t="n">
        <v>0</v>
      </c>
      <c r="U116" s="13" t="n">
        <v>0</v>
      </c>
      <c r="AV116">
        <f>VLOOKUP(RIGHT(B116,LEN(B116)-11),Helpers!$B$4:$C$28,2,0)</f>
        <v/>
      </c>
      <c r="AW116">
        <f>IF(IF(COUNTIF(BT$107:BT$126,BT116)&gt;1,TRUE,FALSE),"T"&amp;BT116,BT116)</f>
        <v/>
      </c>
      <c r="AX116">
        <f>IF(IF(COUNTIF(BU$107:BU$126,BU116)&gt;1,TRUE,FALSE),"T"&amp;BU116,BU116)</f>
        <v/>
      </c>
      <c r="AY116">
        <f>IF(IF(COUNTIF(BV$107:BV$126,BV116)&gt;1,TRUE,FALSE),"T"&amp;BV116,BV116)</f>
        <v/>
      </c>
      <c r="AZ116">
        <f>IF(IF(COUNTIF(BW$107:BW$126,BW116)&gt;1,TRUE,FALSE),"T"&amp;BW116,BW116)</f>
        <v/>
      </c>
      <c r="BA116">
        <f>IF(IF(COUNTIF(BX$107:BX$126,BX116)&gt;1,TRUE,FALSE),"T"&amp;BX116,BX116)</f>
        <v/>
      </c>
      <c r="BB116">
        <f>IF(IF(COUNTIF(BY$107:BY$126,BY116)&gt;1,TRUE,FALSE),"T"&amp;BY116,BY116)</f>
        <v/>
      </c>
      <c r="BC116">
        <f>IF(IF(COUNTIF(BZ$107:BZ$126,BZ116)&gt;1,TRUE,FALSE),"T"&amp;BZ116,BZ116)</f>
        <v/>
      </c>
      <c r="BD116">
        <f>IF(IF(COUNTIF(CA$107:CA$126,CA116)&gt;1,TRUE,FALSE),"T"&amp;CA116,CA116)</f>
        <v/>
      </c>
      <c r="BE116" s="30">
        <f>IF(IF(COUNTIF(CB$107:CB$126,CB116)&gt;1,TRUE,FALSE),"T"&amp;CB116,CB116)</f>
        <v/>
      </c>
      <c r="BF116" s="30">
        <f>IF(IF(COUNTIF(CC$107:CC$126,CC116)&gt;1,TRUE,FALSE),"T"&amp;CC116,CC116)</f>
        <v/>
      </c>
      <c r="BG116">
        <f>IF(IF(COUNTIF(CD$107:CD$126,CD116)&gt;1,TRUE,FALSE),"T"&amp;CD116,CD116)</f>
        <v/>
      </c>
      <c r="BH116">
        <f>IF(IF(COUNTIF(CE$107:CE$126,CE116)&gt;1,TRUE,FALSE),"T"&amp;CE116,CE116)</f>
        <v/>
      </c>
      <c r="BI116">
        <f>IF(IF(COUNTIF(CF$107:CF$126,CF116)&gt;1,TRUE,FALSE),"T"&amp;CF116,CF116)</f>
        <v/>
      </c>
      <c r="BJ116">
        <f>IF(IF(COUNTIF(CG$107:CG$126,CG116)&gt;1,TRUE,FALSE),"T"&amp;CG116,CG116)</f>
        <v/>
      </c>
      <c r="BK116">
        <f>IF(IF(COUNTIF(CH$107:CH$126,CH116)&gt;1,TRUE,FALSE),"T"&amp;CH116,CH116)</f>
        <v/>
      </c>
      <c r="BL116">
        <f>IF(IF(COUNTIF(CI$107:CI$126,CI116)&gt;1,TRUE,FALSE),"T"&amp;CI116,CI116)</f>
        <v/>
      </c>
      <c r="BM116">
        <f>IF(IF(COUNTIF(CJ$107:CJ$126,CJ116)&gt;1,TRUE,FALSE),"T"&amp;CJ116,CJ116)</f>
        <v/>
      </c>
      <c r="BQ116" s="2">
        <f>SUM(J116,W116)/SUM(C116,P116)</f>
        <v/>
      </c>
      <c r="BT116">
        <f>RANK(D116,D$107:D$126)</f>
        <v/>
      </c>
      <c r="BU116">
        <f>RANK(Q116,Q$107:Q$126)</f>
        <v/>
      </c>
      <c r="BV116">
        <f>RANK(E116,E$107:E$126,1)</f>
        <v/>
      </c>
      <c r="BW116">
        <f>RANK(R116,R$107:R$126,1)</f>
        <v/>
      </c>
      <c r="BX116">
        <f>RANK(F116,F$107:F$126,1)</f>
        <v/>
      </c>
      <c r="BY116">
        <f>RANK(S116,S$107:S$126,1)</f>
        <v/>
      </c>
      <c r="BZ116">
        <f>RANK(J116,J$107:J$126)</f>
        <v/>
      </c>
      <c r="CA116">
        <f>RANK(W116,W$107:W$126)</f>
        <v/>
      </c>
      <c r="CB116">
        <f>RANK(K116,K$107:K$126)</f>
        <v/>
      </c>
      <c r="CC116">
        <f>RANK(X116,X$107:X$126)</f>
        <v/>
      </c>
      <c r="CD116" s="2">
        <f>RANK(BQ116,BQ$107:BQ$126)</f>
        <v/>
      </c>
      <c r="CE116">
        <f>RANK(G116,G$107:G$126)</f>
        <v/>
      </c>
      <c r="CF116">
        <f>RANK(T116,T$107:T$126)</f>
        <v/>
      </c>
      <c r="CG116">
        <f>RANK(H116,H$107:H$126,1)</f>
        <v/>
      </c>
      <c r="CH116">
        <f>RANK(U116,U$107:U$126,1)</f>
        <v/>
      </c>
      <c r="CI116">
        <f>RANK(I116,I$107:I$126,0)</f>
        <v/>
      </c>
      <c r="CJ116">
        <f>RANK(V116,V$107:V$126,0)</f>
        <v/>
      </c>
    </row>
    <row r="117" ht="18" customHeight="1" s="43">
      <c r="A117" s="3" t="inlineStr">
        <is>
          <t>West Ham</t>
        </is>
      </c>
      <c r="B117" s="13" t="n">
        <v>2</v>
      </c>
      <c r="C117" s="13" t="n">
        <v>38</v>
      </c>
      <c r="D117" s="13" t="n">
        <v>38</v>
      </c>
      <c r="E117" s="38" t="n">
        <v>3420</v>
      </c>
      <c r="F117" s="13" t="n">
        <v>38</v>
      </c>
      <c r="G117" s="13" t="n">
        <v>62</v>
      </c>
      <c r="H117" s="13" t="n">
        <v>1.63</v>
      </c>
      <c r="I117" s="13" t="n">
        <v>186</v>
      </c>
      <c r="J117" s="13" t="n">
        <v>127</v>
      </c>
      <c r="K117" s="13" t="n">
        <v>68.3</v>
      </c>
      <c r="L117" s="13" t="n">
        <v>11</v>
      </c>
      <c r="M117" s="13" t="n">
        <v>10</v>
      </c>
      <c r="N117" s="13" t="n">
        <v>17</v>
      </c>
      <c r="O117" s="13" t="n">
        <v>7</v>
      </c>
      <c r="P117" s="13" t="n">
        <v>18.4</v>
      </c>
      <c r="Q117" s="13" t="n">
        <v>3</v>
      </c>
      <c r="R117" s="13" t="n">
        <v>3</v>
      </c>
      <c r="S117" s="13" t="n">
        <v>0</v>
      </c>
      <c r="T117" s="13" t="n">
        <v>0</v>
      </c>
      <c r="U117" s="13" t="n">
        <v>0</v>
      </c>
      <c r="AV117">
        <f>VLOOKUP(RIGHT(B117,LEN(B117)-11),Helpers!$B$4:$C$28,2,0)</f>
        <v/>
      </c>
      <c r="AW117">
        <f>IF(IF(COUNTIF(BT$107:BT$126,BT117)&gt;1,TRUE,FALSE),"T"&amp;BT117,BT117)</f>
        <v/>
      </c>
      <c r="AX117">
        <f>IF(IF(COUNTIF(BU$107:BU$126,BU117)&gt;1,TRUE,FALSE),"T"&amp;BU117,BU117)</f>
        <v/>
      </c>
      <c r="AY117">
        <f>IF(IF(COUNTIF(BV$107:BV$126,BV117)&gt;1,TRUE,FALSE),"T"&amp;BV117,BV117)</f>
        <v/>
      </c>
      <c r="AZ117">
        <f>IF(IF(COUNTIF(BW$107:BW$126,BW117)&gt;1,TRUE,FALSE),"T"&amp;BW117,BW117)</f>
        <v/>
      </c>
      <c r="BA117">
        <f>IF(IF(COUNTIF(BX$107:BX$126,BX117)&gt;1,TRUE,FALSE),"T"&amp;BX117,BX117)</f>
        <v/>
      </c>
      <c r="BB117">
        <f>IF(IF(COUNTIF(BY$107:BY$126,BY117)&gt;1,TRUE,FALSE),"T"&amp;BY117,BY117)</f>
        <v/>
      </c>
      <c r="BC117">
        <f>IF(IF(COUNTIF(BZ$107:BZ$126,BZ117)&gt;1,TRUE,FALSE),"T"&amp;BZ117,BZ117)</f>
        <v/>
      </c>
      <c r="BD117">
        <f>IF(IF(COUNTIF(CA$107:CA$126,CA117)&gt;1,TRUE,FALSE),"T"&amp;CA117,CA117)</f>
        <v/>
      </c>
      <c r="BE117" s="30">
        <f>IF(IF(COUNTIF(CB$107:CB$126,CB117)&gt;1,TRUE,FALSE),"T"&amp;CB117,CB117)</f>
        <v/>
      </c>
      <c r="BF117" s="30">
        <f>IF(IF(COUNTIF(CC$107:CC$126,CC117)&gt;1,TRUE,FALSE),"T"&amp;CC117,CC117)</f>
        <v/>
      </c>
      <c r="BG117">
        <f>IF(IF(COUNTIF(CD$107:CD$126,CD117)&gt;1,TRUE,FALSE),"T"&amp;CD117,CD117)</f>
        <v/>
      </c>
      <c r="BH117">
        <f>IF(IF(COUNTIF(CE$107:CE$126,CE117)&gt;1,TRUE,FALSE),"T"&amp;CE117,CE117)</f>
        <v/>
      </c>
      <c r="BI117">
        <f>IF(IF(COUNTIF(CF$107:CF$126,CF117)&gt;1,TRUE,FALSE),"T"&amp;CF117,CF117)</f>
        <v/>
      </c>
      <c r="BJ117">
        <f>IF(IF(COUNTIF(CG$107:CG$126,CG117)&gt;1,TRUE,FALSE),"T"&amp;CG117,CG117)</f>
        <v/>
      </c>
      <c r="BK117">
        <f>IF(IF(COUNTIF(CH$107:CH$126,CH117)&gt;1,TRUE,FALSE),"T"&amp;CH117,CH117)</f>
        <v/>
      </c>
      <c r="BL117">
        <f>IF(IF(COUNTIF(CI$107:CI$126,CI117)&gt;1,TRUE,FALSE),"T"&amp;CI117,CI117)</f>
        <v/>
      </c>
      <c r="BM117">
        <f>IF(IF(COUNTIF(CJ$107:CJ$126,CJ117)&gt;1,TRUE,FALSE),"T"&amp;CJ117,CJ117)</f>
        <v/>
      </c>
      <c r="BQ117" s="2">
        <f>SUM(J117,W117)/SUM(C117,P117)</f>
        <v/>
      </c>
      <c r="BT117">
        <f>RANK(D117,D$107:D$126)</f>
        <v/>
      </c>
      <c r="BU117">
        <f>RANK(Q117,Q$107:Q$126)</f>
        <v/>
      </c>
      <c r="BV117">
        <f>RANK(E117,E$107:E$126,1)</f>
        <v/>
      </c>
      <c r="BW117">
        <f>RANK(R117,R$107:R$126,1)</f>
        <v/>
      </c>
      <c r="BX117">
        <f>RANK(F117,F$107:F$126,1)</f>
        <v/>
      </c>
      <c r="BY117">
        <f>RANK(S117,S$107:S$126,1)</f>
        <v/>
      </c>
      <c r="BZ117">
        <f>RANK(J117,J$107:J$126)</f>
        <v/>
      </c>
      <c r="CA117">
        <f>RANK(W117,W$107:W$126)</f>
        <v/>
      </c>
      <c r="CB117">
        <f>RANK(K117,K$107:K$126)</f>
        <v/>
      </c>
      <c r="CC117">
        <f>RANK(X117,X$107:X$126)</f>
        <v/>
      </c>
      <c r="CD117" s="2">
        <f>RANK(BQ117,BQ$107:BQ$126)</f>
        <v/>
      </c>
      <c r="CE117">
        <f>RANK(G117,G$107:G$126)</f>
        <v/>
      </c>
      <c r="CF117">
        <f>RANK(T117,T$107:T$126)</f>
        <v/>
      </c>
      <c r="CG117">
        <f>RANK(H117,H$107:H$126,1)</f>
        <v/>
      </c>
      <c r="CH117">
        <f>RANK(U117,U$107:U$126,1)</f>
        <v/>
      </c>
      <c r="CI117">
        <f>RANK(I117,I$107:I$126,0)</f>
        <v/>
      </c>
      <c r="CJ117">
        <f>RANK(V117,V$107:V$126,0)</f>
        <v/>
      </c>
    </row>
    <row r="118" ht="17.1" customHeight="1" s="43">
      <c r="A118" s="3" t="inlineStr">
        <is>
          <t>Wolves</t>
        </is>
      </c>
      <c r="B118" s="13" t="n">
        <v>4</v>
      </c>
      <c r="C118" s="13" t="n">
        <v>38</v>
      </c>
      <c r="D118" s="13" t="n">
        <v>38</v>
      </c>
      <c r="E118" s="38" t="n">
        <v>3420</v>
      </c>
      <c r="F118" s="13" t="n">
        <v>38</v>
      </c>
      <c r="G118" s="13" t="n">
        <v>69</v>
      </c>
      <c r="H118" s="13" t="n">
        <v>1.82</v>
      </c>
      <c r="I118" s="13" t="n">
        <v>168</v>
      </c>
      <c r="J118" s="13" t="n">
        <v>100</v>
      </c>
      <c r="K118" s="13" t="n">
        <v>63.1</v>
      </c>
      <c r="L118" s="13" t="n">
        <v>12</v>
      </c>
      <c r="M118" s="13" t="n">
        <v>6</v>
      </c>
      <c r="N118" s="13" t="n">
        <v>20</v>
      </c>
      <c r="O118" s="13" t="n">
        <v>8</v>
      </c>
      <c r="P118" s="13" t="n">
        <v>21.1</v>
      </c>
      <c r="Q118" s="13" t="n">
        <v>9</v>
      </c>
      <c r="R118" s="13" t="n">
        <v>7</v>
      </c>
      <c r="S118" s="13" t="n">
        <v>2</v>
      </c>
      <c r="T118" s="13" t="n">
        <v>0</v>
      </c>
      <c r="U118" s="13" t="n">
        <v>22.2</v>
      </c>
      <c r="AV118">
        <f>VLOOKUP(RIGHT(B118,LEN(B118)-11),Helpers!$B$4:$C$28,2,0)</f>
        <v/>
      </c>
      <c r="AW118">
        <f>IF(IF(COUNTIF(BT$107:BT$126,BT118)&gt;1,TRUE,FALSE),"T"&amp;BT118,BT118)</f>
        <v/>
      </c>
      <c r="AX118">
        <f>IF(IF(COUNTIF(BU$107:BU$126,BU118)&gt;1,TRUE,FALSE),"T"&amp;BU118,BU118)</f>
        <v/>
      </c>
      <c r="AY118">
        <f>IF(IF(COUNTIF(BV$107:BV$126,BV118)&gt;1,TRUE,FALSE),"T"&amp;BV118,BV118)</f>
        <v/>
      </c>
      <c r="AZ118">
        <f>IF(IF(COUNTIF(BW$107:BW$126,BW118)&gt;1,TRUE,FALSE),"T"&amp;BW118,BW118)</f>
        <v/>
      </c>
      <c r="BA118">
        <f>IF(IF(COUNTIF(BX$107:BX$126,BX118)&gt;1,TRUE,FALSE),"T"&amp;BX118,BX118)</f>
        <v/>
      </c>
      <c r="BB118">
        <f>IF(IF(COUNTIF(BY$107:BY$126,BY118)&gt;1,TRUE,FALSE),"T"&amp;BY118,BY118)</f>
        <v/>
      </c>
      <c r="BC118">
        <f>IF(IF(COUNTIF(BZ$107:BZ$126,BZ118)&gt;1,TRUE,FALSE),"T"&amp;BZ118,BZ118)</f>
        <v/>
      </c>
      <c r="BD118">
        <f>IF(IF(COUNTIF(CA$107:CA$126,CA118)&gt;1,TRUE,FALSE),"T"&amp;CA118,CA118)</f>
        <v/>
      </c>
      <c r="BE118" s="30">
        <f>IF(IF(COUNTIF(CB$107:CB$126,CB118)&gt;1,TRUE,FALSE),"T"&amp;CB118,CB118)</f>
        <v/>
      </c>
      <c r="BF118" s="30">
        <f>IF(IF(COUNTIF(CC$107:CC$126,CC118)&gt;1,TRUE,FALSE),"T"&amp;CC118,CC118)</f>
        <v/>
      </c>
      <c r="BG118">
        <f>IF(IF(COUNTIF(CD$107:CD$126,CD118)&gt;1,TRUE,FALSE),"T"&amp;CD118,CD118)</f>
        <v/>
      </c>
      <c r="BH118">
        <f>IF(IF(COUNTIF(CE$107:CE$126,CE118)&gt;1,TRUE,FALSE),"T"&amp;CE118,CE118)</f>
        <v/>
      </c>
      <c r="BI118">
        <f>IF(IF(COUNTIF(CF$107:CF$126,CF118)&gt;1,TRUE,FALSE),"T"&amp;CF118,CF118)</f>
        <v/>
      </c>
      <c r="BJ118">
        <f>IF(IF(COUNTIF(CG$107:CG$126,CG118)&gt;1,TRUE,FALSE),"T"&amp;CG118,CG118)</f>
        <v/>
      </c>
      <c r="BK118">
        <f>IF(IF(COUNTIF(CH$107:CH$126,CH118)&gt;1,TRUE,FALSE),"T"&amp;CH118,CH118)</f>
        <v/>
      </c>
      <c r="BL118">
        <f>IF(IF(COUNTIF(CI$107:CI$126,CI118)&gt;1,TRUE,FALSE),"T"&amp;CI118,CI118)</f>
        <v/>
      </c>
      <c r="BM118">
        <f>IF(IF(COUNTIF(CJ$107:CJ$126,CJ118)&gt;1,TRUE,FALSE),"T"&amp;CJ118,CJ118)</f>
        <v/>
      </c>
      <c r="BQ118" s="2">
        <f>SUM(J118,W118)/SUM(C118,P118)</f>
        <v/>
      </c>
      <c r="BT118">
        <f>RANK(D118,D$107:D$126)</f>
        <v/>
      </c>
      <c r="BU118">
        <f>RANK(Q118,Q$107:Q$126)</f>
        <v/>
      </c>
      <c r="BV118">
        <f>RANK(E118,E$107:E$126,1)</f>
        <v/>
      </c>
      <c r="BW118">
        <f>RANK(R118,R$107:R$126,1)</f>
        <v/>
      </c>
      <c r="BX118">
        <f>RANK(F118,F$107:F$126,1)</f>
        <v/>
      </c>
      <c r="BY118">
        <f>RANK(S118,S$107:S$126,1)</f>
        <v/>
      </c>
      <c r="BZ118">
        <f>RANK(J118,J$107:J$126)</f>
        <v/>
      </c>
      <c r="CA118">
        <f>RANK(W118,W$107:W$126)</f>
        <v/>
      </c>
      <c r="CB118">
        <f>RANK(K118,K$107:K$126)</f>
        <v/>
      </c>
      <c r="CC118">
        <f>RANK(X118,X$107:X$126)</f>
        <v/>
      </c>
      <c r="CD118" s="2">
        <f>RANK(BQ118,BQ$107:BQ$126)</f>
        <v/>
      </c>
      <c r="CE118">
        <f>RANK(G118,G$107:G$126)</f>
        <v/>
      </c>
      <c r="CF118">
        <f>RANK(T118,T$107:T$126)</f>
        <v/>
      </c>
      <c r="CG118">
        <f>RANK(H118,H$107:H$126,1)</f>
        <v/>
      </c>
      <c r="CH118">
        <f>RANK(U118,U$107:U$126,1)</f>
        <v/>
      </c>
      <c r="CI118">
        <f>RANK(I118,I$107:I$126,0)</f>
        <v/>
      </c>
      <c r="CJ118">
        <f>RANK(V118,V$107:V$126,0)</f>
        <v/>
      </c>
    </row>
    <row r="119">
      <c r="AV119">
        <f>VLOOKUP(RIGHT(B119,LEN(B119)-11),Helpers!$B$4:$C$28,2,0)</f>
        <v/>
      </c>
      <c r="AW119">
        <f>IF(IF(COUNTIF(BT$107:BT$126,BT119)&gt;1,TRUE,FALSE),"T"&amp;BT119,BT119)</f>
        <v/>
      </c>
      <c r="AX119">
        <f>IF(IF(COUNTIF(BU$107:BU$126,BU119)&gt;1,TRUE,FALSE),"T"&amp;BU119,BU119)</f>
        <v/>
      </c>
      <c r="AY119">
        <f>IF(IF(COUNTIF(BV$107:BV$126,BV119)&gt;1,TRUE,FALSE),"T"&amp;BV119,BV119)</f>
        <v/>
      </c>
      <c r="AZ119">
        <f>IF(IF(COUNTIF(BW$107:BW$126,BW119)&gt;1,TRUE,FALSE),"T"&amp;BW119,BW119)</f>
        <v/>
      </c>
      <c r="BA119">
        <f>IF(IF(COUNTIF(BX$107:BX$126,BX119)&gt;1,TRUE,FALSE),"T"&amp;BX119,BX119)</f>
        <v/>
      </c>
      <c r="BB119">
        <f>IF(IF(COUNTIF(BY$107:BY$126,BY119)&gt;1,TRUE,FALSE),"T"&amp;BY119,BY119)</f>
        <v/>
      </c>
      <c r="BC119">
        <f>IF(IF(COUNTIF(BZ$107:BZ$126,BZ119)&gt;1,TRUE,FALSE),"T"&amp;BZ119,BZ119)</f>
        <v/>
      </c>
      <c r="BD119">
        <f>IF(IF(COUNTIF(CA$107:CA$126,CA119)&gt;1,TRUE,FALSE),"T"&amp;CA119,CA119)</f>
        <v/>
      </c>
      <c r="BE119" s="30">
        <f>IF(IF(COUNTIF(CB$107:CB$126,CB119)&gt;1,TRUE,FALSE),"T"&amp;CB119,CB119)</f>
        <v/>
      </c>
      <c r="BF119" s="30">
        <f>IF(IF(COUNTIF(CC$107:CC$126,CC119)&gt;1,TRUE,FALSE),"T"&amp;CC119,CC119)</f>
        <v/>
      </c>
      <c r="BG119">
        <f>IF(IF(COUNTIF(CD$107:CD$126,CD119)&gt;1,TRUE,FALSE),"T"&amp;CD119,CD119)</f>
        <v/>
      </c>
      <c r="BH119">
        <f>IF(IF(COUNTIF(CE$107:CE$126,CE119)&gt;1,TRUE,FALSE),"T"&amp;CE119,CE119)</f>
        <v/>
      </c>
      <c r="BI119">
        <f>IF(IF(COUNTIF(CF$107:CF$126,CF119)&gt;1,TRUE,FALSE),"T"&amp;CF119,CF119)</f>
        <v/>
      </c>
      <c r="BJ119">
        <f>IF(IF(COUNTIF(CG$107:CG$126,CG119)&gt;1,TRUE,FALSE),"T"&amp;CG119,CG119)</f>
        <v/>
      </c>
      <c r="BK119">
        <f>IF(IF(COUNTIF(CH$107:CH$126,CH119)&gt;1,TRUE,FALSE),"T"&amp;CH119,CH119)</f>
        <v/>
      </c>
      <c r="BL119">
        <f>IF(IF(COUNTIF(CI$107:CI$126,CI119)&gt;1,TRUE,FALSE),"T"&amp;CI119,CI119)</f>
        <v/>
      </c>
      <c r="BM119">
        <f>IF(IF(COUNTIF(CJ$107:CJ$126,CJ119)&gt;1,TRUE,FALSE),"T"&amp;CJ119,CJ119)</f>
        <v/>
      </c>
      <c r="BQ119" s="2">
        <f>SUM(J119,W119)/SUM(C119,P119)</f>
        <v/>
      </c>
      <c r="BT119">
        <f>RANK(D119,D$107:D$126)</f>
        <v/>
      </c>
      <c r="BU119">
        <f>RANK(Q119,Q$107:Q$126)</f>
        <v/>
      </c>
      <c r="BV119">
        <f>RANK(E119,E$107:E$126,1)</f>
        <v/>
      </c>
      <c r="BW119">
        <f>RANK(R119,R$107:R$126,1)</f>
        <v/>
      </c>
      <c r="BX119">
        <f>RANK(F119,F$107:F$126,1)</f>
        <v/>
      </c>
      <c r="BY119">
        <f>RANK(S119,S$107:S$126,1)</f>
        <v/>
      </c>
      <c r="BZ119">
        <f>RANK(J119,J$107:J$126)</f>
        <v/>
      </c>
      <c r="CA119">
        <f>RANK(W119,W$107:W$126)</f>
        <v/>
      </c>
      <c r="CB119">
        <f>RANK(K119,K$107:K$126)</f>
        <v/>
      </c>
      <c r="CC119">
        <f>RANK(X119,X$107:X$126)</f>
        <v/>
      </c>
      <c r="CD119" s="2">
        <f>RANK(BQ119,BQ$107:BQ$126)</f>
        <v/>
      </c>
      <c r="CE119">
        <f>RANK(G119,G$107:G$126)</f>
        <v/>
      </c>
      <c r="CF119">
        <f>RANK(T119,T$107:T$126)</f>
        <v/>
      </c>
      <c r="CG119">
        <f>RANK(H119,H$107:H$126,1)</f>
        <v/>
      </c>
      <c r="CH119">
        <f>RANK(U119,U$107:U$126,1)</f>
        <v/>
      </c>
      <c r="CI119">
        <f>RANK(I119,I$107:I$126,0)</f>
        <v/>
      </c>
      <c r="CJ119">
        <f>RANK(V119,V$107:V$126,0)</f>
        <v/>
      </c>
    </row>
    <row r="120">
      <c r="A120" s="45" t="inlineStr">
        <is>
          <t>Squad Goalkeeping 2024-2025 Premier League Table</t>
        </is>
      </c>
      <c r="AV120">
        <f>VLOOKUP(RIGHT(B120,LEN(B120)-11),Helpers!$B$4:$C$28,2,0)</f>
        <v/>
      </c>
      <c r="AW120">
        <f>IF(IF(COUNTIF(BT$107:BT$126,BT120)&gt;1,TRUE,FALSE),"T"&amp;BT120,BT120)</f>
        <v/>
      </c>
      <c r="AX120">
        <f>IF(IF(COUNTIF(BU$107:BU$126,BU120)&gt;1,TRUE,FALSE),"T"&amp;BU120,BU120)</f>
        <v/>
      </c>
      <c r="AY120">
        <f>IF(IF(COUNTIF(BV$107:BV$126,BV120)&gt;1,TRUE,FALSE),"T"&amp;BV120,BV120)</f>
        <v/>
      </c>
      <c r="AZ120">
        <f>IF(IF(COUNTIF(BW$107:BW$126,BW120)&gt;1,TRUE,FALSE),"T"&amp;BW120,BW120)</f>
        <v/>
      </c>
      <c r="BA120">
        <f>IF(IF(COUNTIF(BX$107:BX$126,BX120)&gt;1,TRUE,FALSE),"T"&amp;BX120,BX120)</f>
        <v/>
      </c>
      <c r="BB120">
        <f>IF(IF(COUNTIF(BY$107:BY$126,BY120)&gt;1,TRUE,FALSE),"T"&amp;BY120,BY120)</f>
        <v/>
      </c>
      <c r="BC120">
        <f>IF(IF(COUNTIF(BZ$107:BZ$126,BZ120)&gt;1,TRUE,FALSE),"T"&amp;BZ120,BZ120)</f>
        <v/>
      </c>
      <c r="BD120">
        <f>IF(IF(COUNTIF(CA$107:CA$126,CA120)&gt;1,TRUE,FALSE),"T"&amp;CA120,CA120)</f>
        <v/>
      </c>
      <c r="BE120" s="30">
        <f>IF(IF(COUNTIF(CB$107:CB$126,CB120)&gt;1,TRUE,FALSE),"T"&amp;CB120,CB120)</f>
        <v/>
      </c>
      <c r="BF120" s="30">
        <f>IF(IF(COUNTIF(CC$107:CC$126,CC120)&gt;1,TRUE,FALSE),"T"&amp;CC120,CC120)</f>
        <v/>
      </c>
      <c r="BG120">
        <f>IF(IF(COUNTIF(CD$107:CD$126,CD120)&gt;1,TRUE,FALSE),"T"&amp;CD120,CD120)</f>
        <v/>
      </c>
      <c r="BH120">
        <f>IF(IF(COUNTIF(CE$107:CE$126,CE120)&gt;1,TRUE,FALSE),"T"&amp;CE120,CE120)</f>
        <v/>
      </c>
      <c r="BI120">
        <f>IF(IF(COUNTIF(CF$107:CF$126,CF120)&gt;1,TRUE,FALSE),"T"&amp;CF120,CF120)</f>
        <v/>
      </c>
      <c r="BJ120">
        <f>IF(IF(COUNTIF(CG$107:CG$126,CG120)&gt;1,TRUE,FALSE),"T"&amp;CG120,CG120)</f>
        <v/>
      </c>
      <c r="BK120">
        <f>IF(IF(COUNTIF(CH$107:CH$126,CH120)&gt;1,TRUE,FALSE),"T"&amp;CH120,CH120)</f>
        <v/>
      </c>
      <c r="BL120">
        <f>IF(IF(COUNTIF(CI$107:CI$126,CI120)&gt;1,TRUE,FALSE),"T"&amp;CI120,CI120)</f>
        <v/>
      </c>
      <c r="BM120">
        <f>IF(IF(COUNTIF(CJ$107:CJ$126,CJ120)&gt;1,TRUE,FALSE),"T"&amp;CJ120,CJ120)</f>
        <v/>
      </c>
      <c r="BQ120" s="2">
        <f>SUM(J120,W120)/SUM(C120,P120)</f>
        <v/>
      </c>
      <c r="BT120">
        <f>RANK(D120,D$107:D$126)</f>
        <v/>
      </c>
      <c r="BU120">
        <f>RANK(Q120,Q$107:Q$126)</f>
        <v/>
      </c>
      <c r="BV120">
        <f>RANK(E120,E$107:E$126,1)</f>
        <v/>
      </c>
      <c r="BW120">
        <f>RANK(R120,R$107:R$126,1)</f>
        <v/>
      </c>
      <c r="BX120">
        <f>RANK(F120,F$107:F$126,1)</f>
        <v/>
      </c>
      <c r="BY120">
        <f>RANK(S120,S$107:S$126,1)</f>
        <v/>
      </c>
      <c r="BZ120">
        <f>RANK(J120,J$107:J$126)</f>
        <v/>
      </c>
      <c r="CA120">
        <f>RANK(W120,W$107:W$126)</f>
        <v/>
      </c>
      <c r="CB120">
        <f>RANK(K120,K$107:K$126)</f>
        <v/>
      </c>
      <c r="CC120">
        <f>RANK(X120,X$107:X$126)</f>
        <v/>
      </c>
      <c r="CD120" s="2">
        <f>RANK(BQ120,BQ$107:BQ$126)</f>
        <v/>
      </c>
      <c r="CE120">
        <f>RANK(G120,G$107:G$126)</f>
        <v/>
      </c>
      <c r="CF120">
        <f>RANK(T120,T$107:T$126)</f>
        <v/>
      </c>
      <c r="CG120">
        <f>RANK(H120,H$107:H$126,1)</f>
        <v/>
      </c>
      <c r="CH120">
        <f>RANK(U120,U$107:U$126,1)</f>
        <v/>
      </c>
      <c r="CI120">
        <f>RANK(I120,I$107:I$126,0)</f>
        <v/>
      </c>
      <c r="CJ120">
        <f>RANK(V120,V$107:V$126,0)</f>
        <v/>
      </c>
    </row>
    <row r="121" ht="17.1" customHeight="1" s="43">
      <c r="A121" s="44" t="n"/>
      <c r="C121" s="44" t="inlineStr">
        <is>
          <t>Playing Time</t>
        </is>
      </c>
      <c r="G121" s="44" t="inlineStr">
        <is>
          <t>Performance</t>
        </is>
      </c>
      <c r="Q121" s="44" t="inlineStr">
        <is>
          <t>Penalty Kicks</t>
        </is>
      </c>
      <c r="AV121">
        <f>VLOOKUP(RIGHT(B121,LEN(B121)-11),Helpers!$B$4:$C$28,2,0)</f>
        <v/>
      </c>
      <c r="AW121">
        <f>IF(IF(COUNTIF(BT$107:BT$126,BT121)&gt;1,TRUE,FALSE),"T"&amp;BT121,BT121)</f>
        <v/>
      </c>
      <c r="AX121">
        <f>IF(IF(COUNTIF(BU$107:BU$126,BU121)&gt;1,TRUE,FALSE),"T"&amp;BU121,BU121)</f>
        <v/>
      </c>
      <c r="AY121">
        <f>IF(IF(COUNTIF(BV$107:BV$126,BV121)&gt;1,TRUE,FALSE),"T"&amp;BV121,BV121)</f>
        <v/>
      </c>
      <c r="AZ121">
        <f>IF(IF(COUNTIF(BW$107:BW$126,BW121)&gt;1,TRUE,FALSE),"T"&amp;BW121,BW121)</f>
        <v/>
      </c>
      <c r="BA121">
        <f>IF(IF(COUNTIF(BX$107:BX$126,BX121)&gt;1,TRUE,FALSE),"T"&amp;BX121,BX121)</f>
        <v/>
      </c>
      <c r="BB121">
        <f>IF(IF(COUNTIF(BY$107:BY$126,BY121)&gt;1,TRUE,FALSE),"T"&amp;BY121,BY121)</f>
        <v/>
      </c>
      <c r="BC121">
        <f>IF(IF(COUNTIF(BZ$107:BZ$126,BZ121)&gt;1,TRUE,FALSE),"T"&amp;BZ121,BZ121)</f>
        <v/>
      </c>
      <c r="BD121">
        <f>IF(IF(COUNTIF(CA$107:CA$126,CA121)&gt;1,TRUE,FALSE),"T"&amp;CA121,CA121)</f>
        <v/>
      </c>
      <c r="BE121" s="30">
        <f>IF(IF(COUNTIF(CB$107:CB$126,CB121)&gt;1,TRUE,FALSE),"T"&amp;CB121,CB121)</f>
        <v/>
      </c>
      <c r="BF121" s="30">
        <f>IF(IF(COUNTIF(CC$107:CC$126,CC121)&gt;1,TRUE,FALSE),"T"&amp;CC121,CC121)</f>
        <v/>
      </c>
      <c r="BG121">
        <f>IF(IF(COUNTIF(CD$107:CD$126,CD121)&gt;1,TRUE,FALSE),"T"&amp;CD121,CD121)</f>
        <v/>
      </c>
      <c r="BH121">
        <f>IF(IF(COUNTIF(CE$107:CE$126,CE121)&gt;1,TRUE,FALSE),"T"&amp;CE121,CE121)</f>
        <v/>
      </c>
      <c r="BI121">
        <f>IF(IF(COUNTIF(CF$107:CF$126,CF121)&gt;1,TRUE,FALSE),"T"&amp;CF121,CF121)</f>
        <v/>
      </c>
      <c r="BJ121">
        <f>IF(IF(COUNTIF(CG$107:CG$126,CG121)&gt;1,TRUE,FALSE),"T"&amp;CG121,CG121)</f>
        <v/>
      </c>
      <c r="BK121">
        <f>IF(IF(COUNTIF(CH$107:CH$126,CH121)&gt;1,TRUE,FALSE),"T"&amp;CH121,CH121)</f>
        <v/>
      </c>
      <c r="BL121">
        <f>IF(IF(COUNTIF(CI$107:CI$126,CI121)&gt;1,TRUE,FALSE),"T"&amp;CI121,CI121)</f>
        <v/>
      </c>
      <c r="BM121">
        <f>IF(IF(COUNTIF(CJ$107:CJ$126,CJ121)&gt;1,TRUE,FALSE),"T"&amp;CJ121,CJ121)</f>
        <v/>
      </c>
      <c r="BQ121" s="2">
        <f>SUM(J121,W121)/SUM(C121,P121)</f>
        <v/>
      </c>
      <c r="BT121">
        <f>RANK(D121,D$107:D$126)</f>
        <v/>
      </c>
      <c r="BU121">
        <f>RANK(Q121,Q$107:Q$126)</f>
        <v/>
      </c>
      <c r="BV121">
        <f>RANK(E121,E$107:E$126,1)</f>
        <v/>
      </c>
      <c r="BW121">
        <f>RANK(R121,R$107:R$126,1)</f>
        <v/>
      </c>
      <c r="BX121">
        <f>RANK(F121,F$107:F$126,1)</f>
        <v/>
      </c>
      <c r="BY121">
        <f>RANK(S121,S$107:S$126,1)</f>
        <v/>
      </c>
      <c r="BZ121">
        <f>RANK(J121,J$107:J$126)</f>
        <v/>
      </c>
      <c r="CA121">
        <f>RANK(W121,W$107:W$126)</f>
        <v/>
      </c>
      <c r="CB121">
        <f>RANK(K121,K$107:K$126)</f>
        <v/>
      </c>
      <c r="CC121">
        <f>RANK(X121,X$107:X$126)</f>
        <v/>
      </c>
      <c r="CD121" s="2">
        <f>RANK(BQ121,BQ$107:BQ$126)</f>
        <v/>
      </c>
      <c r="CE121">
        <f>RANK(G121,G$107:G$126)</f>
        <v/>
      </c>
      <c r="CF121">
        <f>RANK(T121,T$107:T$126)</f>
        <v/>
      </c>
      <c r="CG121">
        <f>RANK(H121,H$107:H$126,1)</f>
        <v/>
      </c>
      <c r="CH121">
        <f>RANK(U121,U$107:U$126,1)</f>
        <v/>
      </c>
      <c r="CI121">
        <f>RANK(I121,I$107:I$126,0)</f>
        <v/>
      </c>
      <c r="CJ121">
        <f>RANK(V121,V$107:V$126,0)</f>
        <v/>
      </c>
    </row>
    <row r="122">
      <c r="A122" s="44" t="inlineStr">
        <is>
          <t>Squad</t>
        </is>
      </c>
      <c r="B122" s="44" t="inlineStr">
        <is>
          <t># Pl</t>
        </is>
      </c>
      <c r="C122" s="44" t="inlineStr">
        <is>
          <t>MP</t>
        </is>
      </c>
      <c r="D122" s="44" t="inlineStr">
        <is>
          <t>Starts</t>
        </is>
      </c>
      <c r="E122" s="44" t="inlineStr">
        <is>
          <t>Min</t>
        </is>
      </c>
      <c r="F122" s="44" t="inlineStr">
        <is>
          <t>90s</t>
        </is>
      </c>
      <c r="G122" s="44" t="inlineStr">
        <is>
          <t>GA</t>
        </is>
      </c>
      <c r="H122" s="44" t="inlineStr">
        <is>
          <t>GA90</t>
        </is>
      </c>
      <c r="I122" s="44" t="inlineStr">
        <is>
          <t>SoTA</t>
        </is>
      </c>
      <c r="J122" s="44" t="inlineStr">
        <is>
          <t>Saves</t>
        </is>
      </c>
      <c r="K122" s="44" t="inlineStr">
        <is>
          <t>Save%</t>
        </is>
      </c>
      <c r="L122" s="44" t="inlineStr">
        <is>
          <t>W</t>
        </is>
      </c>
      <c r="M122" s="44" t="inlineStr">
        <is>
          <t>D</t>
        </is>
      </c>
      <c r="N122" s="44" t="inlineStr">
        <is>
          <t>L</t>
        </is>
      </c>
      <c r="O122" s="44" t="inlineStr">
        <is>
          <t>CS</t>
        </is>
      </c>
      <c r="P122" s="44" t="inlineStr">
        <is>
          <t>CS%</t>
        </is>
      </c>
      <c r="Q122" s="44" t="inlineStr">
        <is>
          <t>PKatt</t>
        </is>
      </c>
      <c r="R122" s="44" t="inlineStr">
        <is>
          <t>PKA</t>
        </is>
      </c>
      <c r="S122" s="44" t="inlineStr">
        <is>
          <t>PKsv</t>
        </is>
      </c>
      <c r="T122" s="44" t="inlineStr">
        <is>
          <t>PKm</t>
        </is>
      </c>
      <c r="U122" s="44" t="inlineStr">
        <is>
          <t>Save%</t>
        </is>
      </c>
      <c r="AV122">
        <f>VLOOKUP(RIGHT(B122,LEN(B122)-11),Helpers!$B$4:$C$28,2,0)</f>
        <v/>
      </c>
      <c r="AW122">
        <f>IF(IF(COUNTIF(BT$107:BT$126,BT122)&gt;1,TRUE,FALSE),"T"&amp;BT122,BT122)</f>
        <v/>
      </c>
      <c r="AX122">
        <f>IF(IF(COUNTIF(BU$107:BU$126,BU122)&gt;1,TRUE,FALSE),"T"&amp;BU122,BU122)</f>
        <v/>
      </c>
      <c r="AY122">
        <f>IF(IF(COUNTIF(BV$107:BV$126,BV122)&gt;1,TRUE,FALSE),"T"&amp;BV122,BV122)</f>
        <v/>
      </c>
      <c r="AZ122">
        <f>IF(IF(COUNTIF(BW$107:BW$126,BW122)&gt;1,TRUE,FALSE),"T"&amp;BW122,BW122)</f>
        <v/>
      </c>
      <c r="BA122">
        <f>IF(IF(COUNTIF(BX$107:BX$126,BX122)&gt;1,TRUE,FALSE),"T"&amp;BX122,BX122)</f>
        <v/>
      </c>
      <c r="BB122">
        <f>IF(IF(COUNTIF(BY$107:BY$126,BY122)&gt;1,TRUE,FALSE),"T"&amp;BY122,BY122)</f>
        <v/>
      </c>
      <c r="BC122">
        <f>IF(IF(COUNTIF(BZ$107:BZ$126,BZ122)&gt;1,TRUE,FALSE),"T"&amp;BZ122,BZ122)</f>
        <v/>
      </c>
      <c r="BD122">
        <f>IF(IF(COUNTIF(CA$107:CA$126,CA122)&gt;1,TRUE,FALSE),"T"&amp;CA122,CA122)</f>
        <v/>
      </c>
      <c r="BE122" s="30">
        <f>IF(IF(COUNTIF(CB$107:CB$126,CB122)&gt;1,TRUE,FALSE),"T"&amp;CB122,CB122)</f>
        <v/>
      </c>
      <c r="BF122" s="30">
        <f>IF(IF(COUNTIF(CC$107:CC$126,CC122)&gt;1,TRUE,FALSE),"T"&amp;CC122,CC122)</f>
        <v/>
      </c>
      <c r="BG122">
        <f>IF(IF(COUNTIF(CD$107:CD$126,CD122)&gt;1,TRUE,FALSE),"T"&amp;CD122,CD122)</f>
        <v/>
      </c>
      <c r="BH122">
        <f>IF(IF(COUNTIF(CE$107:CE$126,CE122)&gt;1,TRUE,FALSE),"T"&amp;CE122,CE122)</f>
        <v/>
      </c>
      <c r="BI122">
        <f>IF(IF(COUNTIF(CF$107:CF$126,CF122)&gt;1,TRUE,FALSE),"T"&amp;CF122,CF122)</f>
        <v/>
      </c>
      <c r="BJ122">
        <f>IF(IF(COUNTIF(CG$107:CG$126,CG122)&gt;1,TRUE,FALSE),"T"&amp;CG122,CG122)</f>
        <v/>
      </c>
      <c r="BK122">
        <f>IF(IF(COUNTIF(CH$107:CH$126,CH122)&gt;1,TRUE,FALSE),"T"&amp;CH122,CH122)</f>
        <v/>
      </c>
      <c r="BL122">
        <f>IF(IF(COUNTIF(CI$107:CI$126,CI122)&gt;1,TRUE,FALSE),"T"&amp;CI122,CI122)</f>
        <v/>
      </c>
      <c r="BM122">
        <f>IF(IF(COUNTIF(CJ$107:CJ$126,CJ122)&gt;1,TRUE,FALSE),"T"&amp;CJ122,CJ122)</f>
        <v/>
      </c>
      <c r="BQ122" s="2">
        <f>SUM(J122,W122)/SUM(C122,P122)</f>
        <v/>
      </c>
      <c r="BT122">
        <f>RANK(D122,D$107:D$126)</f>
        <v/>
      </c>
      <c r="BU122">
        <f>RANK(Q122,Q$107:Q$126)</f>
        <v/>
      </c>
      <c r="BV122">
        <f>RANK(E122,E$107:E$126,1)</f>
        <v/>
      </c>
      <c r="BW122">
        <f>RANK(R122,R$107:R$126,1)</f>
        <v/>
      </c>
      <c r="BX122">
        <f>RANK(F122,F$107:F$126,1)</f>
        <v/>
      </c>
      <c r="BY122">
        <f>RANK(S122,S$107:S$126,1)</f>
        <v/>
      </c>
      <c r="BZ122">
        <f>RANK(J122,J$107:J$126)</f>
        <v/>
      </c>
      <c r="CA122">
        <f>RANK(W122,W$107:W$126)</f>
        <v/>
      </c>
      <c r="CB122">
        <f>RANK(K122,K$107:K$126)</f>
        <v/>
      </c>
      <c r="CC122">
        <f>RANK(X122,X$107:X$126)</f>
        <v/>
      </c>
      <c r="CD122" s="2">
        <f>RANK(BQ122,BQ$107:BQ$126)</f>
        <v/>
      </c>
      <c r="CE122">
        <f>RANK(G122,G$107:G$126)</f>
        <v/>
      </c>
      <c r="CF122">
        <f>RANK(T122,T$107:T$126)</f>
        <v/>
      </c>
      <c r="CG122">
        <f>RANK(H122,H$107:H$126,1)</f>
        <v/>
      </c>
      <c r="CH122">
        <f>RANK(U122,U$107:U$126,1)</f>
        <v/>
      </c>
      <c r="CI122">
        <f>RANK(I122,I$107:I$126,0)</f>
        <v/>
      </c>
      <c r="CJ122">
        <f>RANK(V122,V$107:V$126,0)</f>
        <v/>
      </c>
    </row>
    <row r="123" ht="17.1" customHeight="1" s="43">
      <c r="A123" s="3" t="inlineStr">
        <is>
          <t>vs Arsenal</t>
        </is>
      </c>
      <c r="B123" s="13" t="n">
        <v>1</v>
      </c>
      <c r="C123" s="13" t="n">
        <v>38</v>
      </c>
      <c r="D123" s="13" t="n">
        <v>38</v>
      </c>
      <c r="E123" s="38" t="n">
        <v>3420</v>
      </c>
      <c r="F123" s="13" t="n">
        <v>38</v>
      </c>
      <c r="G123" s="13" t="n">
        <v>69</v>
      </c>
      <c r="H123" s="13" t="n">
        <v>1.82</v>
      </c>
      <c r="I123" s="13" t="n">
        <v>180</v>
      </c>
      <c r="J123" s="13" t="n">
        <v>113</v>
      </c>
      <c r="K123" s="13" t="n">
        <v>62.8</v>
      </c>
      <c r="L123" s="13" t="n">
        <v>4</v>
      </c>
      <c r="M123" s="13" t="n">
        <v>14</v>
      </c>
      <c r="N123" s="13" t="n">
        <v>20</v>
      </c>
      <c r="O123" s="13" t="n">
        <v>5</v>
      </c>
      <c r="P123" s="13" t="n">
        <v>13.2</v>
      </c>
      <c r="Q123" s="13" t="n">
        <v>2</v>
      </c>
      <c r="R123" s="13" t="n">
        <v>2</v>
      </c>
      <c r="S123" s="13" t="n">
        <v>0</v>
      </c>
      <c r="T123" s="13" t="n">
        <v>0</v>
      </c>
      <c r="U123" s="13" t="n">
        <v>0</v>
      </c>
      <c r="AV123">
        <f>VLOOKUP(RIGHT(B123,LEN(B123)-11),Helpers!$B$4:$C$28,2,0)</f>
        <v/>
      </c>
      <c r="AW123">
        <f>IF(IF(COUNTIF(BT$107:BT$126,BT123)&gt;1,TRUE,FALSE),"T"&amp;BT123,BT123)</f>
        <v/>
      </c>
      <c r="AX123">
        <f>IF(IF(COUNTIF(BU$107:BU$126,BU123)&gt;1,TRUE,FALSE),"T"&amp;BU123,BU123)</f>
        <v/>
      </c>
      <c r="AY123">
        <f>IF(IF(COUNTIF(BV$107:BV$126,BV123)&gt;1,TRUE,FALSE),"T"&amp;BV123,BV123)</f>
        <v/>
      </c>
      <c r="AZ123">
        <f>IF(IF(COUNTIF(BW$107:BW$126,BW123)&gt;1,TRUE,FALSE),"T"&amp;BW123,BW123)</f>
        <v/>
      </c>
      <c r="BA123">
        <f>IF(IF(COUNTIF(BX$107:BX$126,BX123)&gt;1,TRUE,FALSE),"T"&amp;BX123,BX123)</f>
        <v/>
      </c>
      <c r="BB123">
        <f>IF(IF(COUNTIF(BY$107:BY$126,BY123)&gt;1,TRUE,FALSE),"T"&amp;BY123,BY123)</f>
        <v/>
      </c>
      <c r="BC123">
        <f>IF(IF(COUNTIF(BZ$107:BZ$126,BZ123)&gt;1,TRUE,FALSE),"T"&amp;BZ123,BZ123)</f>
        <v/>
      </c>
      <c r="BD123">
        <f>IF(IF(COUNTIF(CA$107:CA$126,CA123)&gt;1,TRUE,FALSE),"T"&amp;CA123,CA123)</f>
        <v/>
      </c>
      <c r="BE123" s="30">
        <f>IF(IF(COUNTIF(CB$107:CB$126,CB123)&gt;1,TRUE,FALSE),"T"&amp;CB123,CB123)</f>
        <v/>
      </c>
      <c r="BF123" s="30">
        <f>IF(IF(COUNTIF(CC$107:CC$126,CC123)&gt;1,TRUE,FALSE),"T"&amp;CC123,CC123)</f>
        <v/>
      </c>
      <c r="BG123">
        <f>IF(IF(COUNTIF(CD$107:CD$126,CD123)&gt;1,TRUE,FALSE),"T"&amp;CD123,CD123)</f>
        <v/>
      </c>
      <c r="BH123">
        <f>IF(IF(COUNTIF(CE$107:CE$126,CE123)&gt;1,TRUE,FALSE),"T"&amp;CE123,CE123)</f>
        <v/>
      </c>
      <c r="BI123">
        <f>IF(IF(COUNTIF(CF$107:CF$126,CF123)&gt;1,TRUE,FALSE),"T"&amp;CF123,CF123)</f>
        <v/>
      </c>
      <c r="BJ123">
        <f>IF(IF(COUNTIF(CG$107:CG$126,CG123)&gt;1,TRUE,FALSE),"T"&amp;CG123,CG123)</f>
        <v/>
      </c>
      <c r="BK123">
        <f>IF(IF(COUNTIF(CH$107:CH$126,CH123)&gt;1,TRUE,FALSE),"T"&amp;CH123,CH123)</f>
        <v/>
      </c>
      <c r="BL123">
        <f>IF(IF(COUNTIF(CI$107:CI$126,CI123)&gt;1,TRUE,FALSE),"T"&amp;CI123,CI123)</f>
        <v/>
      </c>
      <c r="BM123">
        <f>IF(IF(COUNTIF(CJ$107:CJ$126,CJ123)&gt;1,TRUE,FALSE),"T"&amp;CJ123,CJ123)</f>
        <v/>
      </c>
      <c r="BQ123" s="2">
        <f>SUM(J123,W123)/SUM(C123,P123)</f>
        <v/>
      </c>
      <c r="BT123">
        <f>RANK(D123,D$107:D$126)</f>
        <v/>
      </c>
      <c r="BU123">
        <f>RANK(Q123,Q$107:Q$126)</f>
        <v/>
      </c>
      <c r="BV123">
        <f>RANK(E123,E$107:E$126,1)</f>
        <v/>
      </c>
      <c r="BW123">
        <f>RANK(R123,R$107:R$126,1)</f>
        <v/>
      </c>
      <c r="BX123">
        <f>RANK(F123,F$107:F$126,1)</f>
        <v/>
      </c>
      <c r="BY123">
        <f>RANK(S123,S$107:S$126,1)</f>
        <v/>
      </c>
      <c r="BZ123">
        <f>RANK(J123,J$107:J$126)</f>
        <v/>
      </c>
      <c r="CA123">
        <f>RANK(W123,W$107:W$126)</f>
        <v/>
      </c>
      <c r="CB123">
        <f>RANK(K123,K$107:K$126)</f>
        <v/>
      </c>
      <c r="CC123">
        <f>RANK(X123,X$107:X$126)</f>
        <v/>
      </c>
      <c r="CD123" s="2">
        <f>RANK(BQ123,BQ$107:BQ$126)</f>
        <v/>
      </c>
      <c r="CE123">
        <f>RANK(G123,G$107:G$126)</f>
        <v/>
      </c>
      <c r="CF123">
        <f>RANK(T123,T$107:T$126)</f>
        <v/>
      </c>
      <c r="CG123">
        <f>RANK(H123,H$107:H$126,1)</f>
        <v/>
      </c>
      <c r="CH123">
        <f>RANK(U123,U$107:U$126,1)</f>
        <v/>
      </c>
      <c r="CI123">
        <f>RANK(I123,I$107:I$126,0)</f>
        <v/>
      </c>
      <c r="CJ123">
        <f>RANK(V123,V$107:V$126,0)</f>
        <v/>
      </c>
    </row>
    <row r="124">
      <c r="A124" s="3" t="inlineStr">
        <is>
          <t>vs Aston Villa</t>
        </is>
      </c>
      <c r="B124" s="13" t="n">
        <v>2</v>
      </c>
      <c r="C124" s="13" t="n">
        <v>38</v>
      </c>
      <c r="D124" s="13" t="n">
        <v>38</v>
      </c>
      <c r="E124" s="38" t="n">
        <v>3420</v>
      </c>
      <c r="F124" s="13" t="n">
        <v>38</v>
      </c>
      <c r="G124" s="13" t="n">
        <v>58</v>
      </c>
      <c r="H124" s="13" t="n">
        <v>1.53</v>
      </c>
      <c r="I124" s="13" t="n">
        <v>165</v>
      </c>
      <c r="J124" s="13" t="n">
        <v>106</v>
      </c>
      <c r="K124" s="13" t="n">
        <v>66.7</v>
      </c>
      <c r="L124" s="13" t="n">
        <v>10</v>
      </c>
      <c r="M124" s="13" t="n">
        <v>9</v>
      </c>
      <c r="N124" s="13" t="n">
        <v>19</v>
      </c>
      <c r="O124" s="13" t="n">
        <v>7</v>
      </c>
      <c r="P124" s="13" t="n">
        <v>18.4</v>
      </c>
      <c r="Q124" s="13" t="n">
        <v>6</v>
      </c>
      <c r="R124" s="13" t="n">
        <v>3</v>
      </c>
      <c r="S124" s="13" t="n">
        <v>3</v>
      </c>
      <c r="T124" s="13" t="n">
        <v>0</v>
      </c>
      <c r="U124" s="13" t="n">
        <v>50</v>
      </c>
      <c r="AV124">
        <f>VLOOKUP(RIGHT(B124,LEN(B124)-11),Helpers!$B$4:$C$28,2,0)</f>
        <v/>
      </c>
      <c r="AW124">
        <f>IF(IF(COUNTIF(BT$107:BT$126,BT124)&gt;1,TRUE,FALSE),"T"&amp;BT124,BT124)</f>
        <v/>
      </c>
      <c r="AX124">
        <f>IF(IF(COUNTIF(BU$107:BU$126,BU124)&gt;1,TRUE,FALSE),"T"&amp;BU124,BU124)</f>
        <v/>
      </c>
      <c r="AY124">
        <f>IF(IF(COUNTIF(BV$107:BV$126,BV124)&gt;1,TRUE,FALSE),"T"&amp;BV124,BV124)</f>
        <v/>
      </c>
      <c r="AZ124">
        <f>IF(IF(COUNTIF(BW$107:BW$126,BW124)&gt;1,TRUE,FALSE),"T"&amp;BW124,BW124)</f>
        <v/>
      </c>
      <c r="BA124">
        <f>IF(IF(COUNTIF(BX$107:BX$126,BX124)&gt;1,TRUE,FALSE),"T"&amp;BX124,BX124)</f>
        <v/>
      </c>
      <c r="BB124">
        <f>IF(IF(COUNTIF(BY$107:BY$126,BY124)&gt;1,TRUE,FALSE),"T"&amp;BY124,BY124)</f>
        <v/>
      </c>
      <c r="BC124">
        <f>IF(IF(COUNTIF(BZ$107:BZ$126,BZ124)&gt;1,TRUE,FALSE),"T"&amp;BZ124,BZ124)</f>
        <v/>
      </c>
      <c r="BD124">
        <f>IF(IF(COUNTIF(CA$107:CA$126,CA124)&gt;1,TRUE,FALSE),"T"&amp;CA124,CA124)</f>
        <v/>
      </c>
      <c r="BE124" s="30">
        <f>IF(IF(COUNTIF(CB$107:CB$126,CB124)&gt;1,TRUE,FALSE),"T"&amp;CB124,CB124)</f>
        <v/>
      </c>
      <c r="BF124" s="30">
        <f>IF(IF(COUNTIF(CC$107:CC$126,CC124)&gt;1,TRUE,FALSE),"T"&amp;CC124,CC124)</f>
        <v/>
      </c>
      <c r="BG124">
        <f>IF(IF(COUNTIF(CD$107:CD$126,CD124)&gt;1,TRUE,FALSE),"T"&amp;CD124,CD124)</f>
        <v/>
      </c>
      <c r="BH124">
        <f>IF(IF(COUNTIF(CE$107:CE$126,CE124)&gt;1,TRUE,FALSE),"T"&amp;CE124,CE124)</f>
        <v/>
      </c>
      <c r="BI124">
        <f>IF(IF(COUNTIF(CF$107:CF$126,CF124)&gt;1,TRUE,FALSE),"T"&amp;CF124,CF124)</f>
        <v/>
      </c>
      <c r="BJ124">
        <f>IF(IF(COUNTIF(CG$107:CG$126,CG124)&gt;1,TRUE,FALSE),"T"&amp;CG124,CG124)</f>
        <v/>
      </c>
      <c r="BK124">
        <f>IF(IF(COUNTIF(CH$107:CH$126,CH124)&gt;1,TRUE,FALSE),"T"&amp;CH124,CH124)</f>
        <v/>
      </c>
      <c r="BL124">
        <f>IF(IF(COUNTIF(CI$107:CI$126,CI124)&gt;1,TRUE,FALSE),"T"&amp;CI124,CI124)</f>
        <v/>
      </c>
      <c r="BM124">
        <f>IF(IF(COUNTIF(CJ$107:CJ$126,CJ124)&gt;1,TRUE,FALSE),"T"&amp;CJ124,CJ124)</f>
        <v/>
      </c>
      <c r="BQ124" s="2">
        <f>SUM(J124,W124)/SUM(C124,P124)</f>
        <v/>
      </c>
      <c r="BT124">
        <f>RANK(D124,D$107:D$126)</f>
        <v/>
      </c>
      <c r="BU124">
        <f>RANK(Q124,Q$107:Q$126)</f>
        <v/>
      </c>
      <c r="BV124">
        <f>RANK(E124,E$107:E$126,1)</f>
        <v/>
      </c>
      <c r="BW124">
        <f>RANK(R124,R$107:R$126,1)</f>
        <v/>
      </c>
      <c r="BX124">
        <f>RANK(F124,F$107:F$126,1)</f>
        <v/>
      </c>
      <c r="BY124">
        <f>RANK(S124,S$107:S$126,1)</f>
        <v/>
      </c>
      <c r="BZ124">
        <f>RANK(J124,J$107:J$126)</f>
        <v/>
      </c>
      <c r="CA124">
        <f>RANK(W124,W$107:W$126)</f>
        <v/>
      </c>
      <c r="CB124">
        <f>RANK(K124,K$107:K$126)</f>
        <v/>
      </c>
      <c r="CC124">
        <f>RANK(X124,X$107:X$126)</f>
        <v/>
      </c>
      <c r="CD124" s="2">
        <f>RANK(BQ124,BQ$107:BQ$126)</f>
        <v/>
      </c>
      <c r="CE124">
        <f>RANK(G124,G$107:G$126)</f>
        <v/>
      </c>
      <c r="CF124">
        <f>RANK(T124,T$107:T$126)</f>
        <v/>
      </c>
      <c r="CG124">
        <f>RANK(H124,H$107:H$126,1)</f>
        <v/>
      </c>
      <c r="CH124">
        <f>RANK(U124,U$107:U$126,1)</f>
        <v/>
      </c>
      <c r="CI124">
        <f>RANK(I124,I$107:I$126,0)</f>
        <v/>
      </c>
      <c r="CJ124">
        <f>RANK(V124,V$107:V$126,0)</f>
        <v/>
      </c>
    </row>
    <row r="125">
      <c r="A125" s="3" t="inlineStr">
        <is>
          <t>vs Bournemouth</t>
        </is>
      </c>
      <c r="B125" s="13" t="n">
        <v>3</v>
      </c>
      <c r="C125" s="13" t="n">
        <v>38</v>
      </c>
      <c r="D125" s="13" t="n">
        <v>38</v>
      </c>
      <c r="E125" s="38" t="n">
        <v>3420</v>
      </c>
      <c r="F125" s="13" t="n">
        <v>38</v>
      </c>
      <c r="G125" s="13" t="n">
        <v>58</v>
      </c>
      <c r="H125" s="13" t="n">
        <v>1.53</v>
      </c>
      <c r="I125" s="13" t="n">
        <v>199</v>
      </c>
      <c r="J125" s="13" t="n">
        <v>141</v>
      </c>
      <c r="K125" s="13" t="n">
        <v>73.90000000000001</v>
      </c>
      <c r="L125" s="13" t="n">
        <v>12</v>
      </c>
      <c r="M125" s="13" t="n">
        <v>11</v>
      </c>
      <c r="N125" s="13" t="n">
        <v>15</v>
      </c>
      <c r="O125" s="13" t="n">
        <v>8</v>
      </c>
      <c r="P125" s="13" t="n">
        <v>21.1</v>
      </c>
      <c r="Q125" s="13" t="n">
        <v>7</v>
      </c>
      <c r="R125" s="13" t="n">
        <v>6</v>
      </c>
      <c r="S125" s="13" t="n">
        <v>1</v>
      </c>
      <c r="T125" s="13" t="n">
        <v>0</v>
      </c>
      <c r="U125" s="13" t="n">
        <v>14.3</v>
      </c>
      <c r="AV125">
        <f>VLOOKUP(RIGHT(B125,LEN(B125)-11),Helpers!$B$4:$C$28,2,0)</f>
        <v/>
      </c>
      <c r="AW125">
        <f>IF(IF(COUNTIF(BT$107:BT$126,BT125)&gt;1,TRUE,FALSE),"T"&amp;BT125,BT125)</f>
        <v/>
      </c>
      <c r="AX125">
        <f>IF(IF(COUNTIF(BU$107:BU$126,BU125)&gt;1,TRUE,FALSE),"T"&amp;BU125,BU125)</f>
        <v/>
      </c>
      <c r="AY125">
        <f>IF(IF(COUNTIF(BV$107:BV$126,BV125)&gt;1,TRUE,FALSE),"T"&amp;BV125,BV125)</f>
        <v/>
      </c>
      <c r="AZ125">
        <f>IF(IF(COUNTIF(BW$107:BW$126,BW125)&gt;1,TRUE,FALSE),"T"&amp;BW125,BW125)</f>
        <v/>
      </c>
      <c r="BA125">
        <f>IF(IF(COUNTIF(BX$107:BX$126,BX125)&gt;1,TRUE,FALSE),"T"&amp;BX125,BX125)</f>
        <v/>
      </c>
      <c r="BB125">
        <f>IF(IF(COUNTIF(BY$107:BY$126,BY125)&gt;1,TRUE,FALSE),"T"&amp;BY125,BY125)</f>
        <v/>
      </c>
      <c r="BC125">
        <f>IF(IF(COUNTIF(BZ$107:BZ$126,BZ125)&gt;1,TRUE,FALSE),"T"&amp;BZ125,BZ125)</f>
        <v/>
      </c>
      <c r="BD125">
        <f>IF(IF(COUNTIF(CA$107:CA$126,CA125)&gt;1,TRUE,FALSE),"T"&amp;CA125,CA125)</f>
        <v/>
      </c>
      <c r="BE125" s="30">
        <f>IF(IF(COUNTIF(CB$107:CB$126,CB125)&gt;1,TRUE,FALSE),"T"&amp;CB125,CB125)</f>
        <v/>
      </c>
      <c r="BF125" s="30">
        <f>IF(IF(COUNTIF(CC$107:CC$126,CC125)&gt;1,TRUE,FALSE),"T"&amp;CC125,CC125)</f>
        <v/>
      </c>
      <c r="BG125">
        <f>IF(IF(COUNTIF(CD$107:CD$126,CD125)&gt;1,TRUE,FALSE),"T"&amp;CD125,CD125)</f>
        <v/>
      </c>
      <c r="BH125">
        <f>IF(IF(COUNTIF(CE$107:CE$126,CE125)&gt;1,TRUE,FALSE),"T"&amp;CE125,CE125)</f>
        <v/>
      </c>
      <c r="BI125">
        <f>IF(IF(COUNTIF(CF$107:CF$126,CF125)&gt;1,TRUE,FALSE),"T"&amp;CF125,CF125)</f>
        <v/>
      </c>
      <c r="BJ125">
        <f>IF(IF(COUNTIF(CG$107:CG$126,CG125)&gt;1,TRUE,FALSE),"T"&amp;CG125,CG125)</f>
        <v/>
      </c>
      <c r="BK125">
        <f>IF(IF(COUNTIF(CH$107:CH$126,CH125)&gt;1,TRUE,FALSE),"T"&amp;CH125,CH125)</f>
        <v/>
      </c>
      <c r="BL125">
        <f>IF(IF(COUNTIF(CI$107:CI$126,CI125)&gt;1,TRUE,FALSE),"T"&amp;CI125,CI125)</f>
        <v/>
      </c>
      <c r="BM125">
        <f>IF(IF(COUNTIF(CJ$107:CJ$126,CJ125)&gt;1,TRUE,FALSE),"T"&amp;CJ125,CJ125)</f>
        <v/>
      </c>
      <c r="BQ125" s="2">
        <f>SUM(J125,W125)/SUM(C125,P125)</f>
        <v/>
      </c>
      <c r="BT125">
        <f>RANK(D125,D$107:D$126)</f>
        <v/>
      </c>
      <c r="BU125">
        <f>RANK(Q125,Q$107:Q$126)</f>
        <v/>
      </c>
      <c r="BV125">
        <f>RANK(E125,E$107:E$126,1)</f>
        <v/>
      </c>
      <c r="BW125">
        <f>RANK(R125,R$107:R$126,1)</f>
        <v/>
      </c>
      <c r="BX125">
        <f>RANK(F125,F$107:F$126,1)</f>
        <v/>
      </c>
      <c r="BY125">
        <f>RANK(S125,S$107:S$126,1)</f>
        <v/>
      </c>
      <c r="BZ125">
        <f>RANK(J125,J$107:J$126)</f>
        <v/>
      </c>
      <c r="CA125">
        <f>RANK(W125,W$107:W$126)</f>
        <v/>
      </c>
      <c r="CB125">
        <f>RANK(K125,K$107:K$126)</f>
        <v/>
      </c>
      <c r="CC125">
        <f>RANK(X125,X$107:X$126)</f>
        <v/>
      </c>
      <c r="CD125" s="2">
        <f>RANK(BQ125,BQ$107:BQ$126)</f>
        <v/>
      </c>
      <c r="CE125">
        <f>RANK(G125,G$107:G$126)</f>
        <v/>
      </c>
      <c r="CF125">
        <f>RANK(T125,T$107:T$126)</f>
        <v/>
      </c>
      <c r="CG125">
        <f>RANK(H125,H$107:H$126,1)</f>
        <v/>
      </c>
      <c r="CH125">
        <f>RANK(U125,U$107:U$126,1)</f>
        <v/>
      </c>
      <c r="CI125">
        <f>RANK(I125,I$107:I$126,0)</f>
        <v/>
      </c>
      <c r="CJ125">
        <f>RANK(V125,V$107:V$126,0)</f>
        <v/>
      </c>
    </row>
    <row r="126">
      <c r="A126" s="3" t="inlineStr">
        <is>
          <t>vs Brentford</t>
        </is>
      </c>
      <c r="B126" s="13" t="n">
        <v>2</v>
      </c>
      <c r="C126" s="13" t="n">
        <v>38</v>
      </c>
      <c r="D126" s="13" t="n">
        <v>38</v>
      </c>
      <c r="E126" s="38" t="n">
        <v>3420</v>
      </c>
      <c r="F126" s="13" t="n">
        <v>38</v>
      </c>
      <c r="G126" s="13" t="n">
        <v>66</v>
      </c>
      <c r="H126" s="13" t="n">
        <v>1.74</v>
      </c>
      <c r="I126" s="13" t="n">
        <v>179</v>
      </c>
      <c r="J126" s="13" t="n">
        <v>113</v>
      </c>
      <c r="K126" s="13" t="n">
        <v>65.90000000000001</v>
      </c>
      <c r="L126" s="13" t="n">
        <v>14</v>
      </c>
      <c r="M126" s="13" t="n">
        <v>8</v>
      </c>
      <c r="N126" s="13" t="n">
        <v>16</v>
      </c>
      <c r="O126" s="13" t="n">
        <v>8</v>
      </c>
      <c r="P126" s="13" t="n">
        <v>21.1</v>
      </c>
      <c r="Q126" s="13" t="n">
        <v>6</v>
      </c>
      <c r="R126" s="13" t="n">
        <v>5</v>
      </c>
      <c r="S126" s="13" t="n">
        <v>1</v>
      </c>
      <c r="T126" s="13" t="n">
        <v>0</v>
      </c>
      <c r="U126" s="13" t="n">
        <v>16.7</v>
      </c>
      <c r="AV126">
        <f>VLOOKUP(RIGHT(B126,LEN(B126)-11),Helpers!$B$4:$C$28,2,0)</f>
        <v/>
      </c>
      <c r="AW126">
        <f>IF(IF(COUNTIF(BT$107:BT$126,BT126)&gt;1,TRUE,FALSE),"T"&amp;BT126,BT126)</f>
        <v/>
      </c>
      <c r="AX126">
        <f>IF(IF(COUNTIF(BU$107:BU$126,BU126)&gt;1,TRUE,FALSE),"T"&amp;BU126,BU126)</f>
        <v/>
      </c>
      <c r="AY126">
        <f>IF(IF(COUNTIF(BV$107:BV$126,BV126)&gt;1,TRUE,FALSE),"T"&amp;BV126,BV126)</f>
        <v/>
      </c>
      <c r="AZ126">
        <f>IF(IF(COUNTIF(BW$107:BW$126,BW126)&gt;1,TRUE,FALSE),"T"&amp;BW126,BW126)</f>
        <v/>
      </c>
      <c r="BA126">
        <f>IF(IF(COUNTIF(BX$107:BX$126,BX126)&gt;1,TRUE,FALSE),"T"&amp;BX126,BX126)</f>
        <v/>
      </c>
      <c r="BB126">
        <f>IF(IF(COUNTIF(BY$107:BY$126,BY126)&gt;1,TRUE,FALSE),"T"&amp;BY126,BY126)</f>
        <v/>
      </c>
      <c r="BC126">
        <f>IF(IF(COUNTIF(BZ$107:BZ$126,BZ126)&gt;1,TRUE,FALSE),"T"&amp;BZ126,BZ126)</f>
        <v/>
      </c>
      <c r="BD126">
        <f>IF(IF(COUNTIF(CA$107:CA$126,CA126)&gt;1,TRUE,FALSE),"T"&amp;CA126,CA126)</f>
        <v/>
      </c>
      <c r="BE126" s="30">
        <f>IF(IF(COUNTIF(CB$107:CB$126,CB126)&gt;1,TRUE,FALSE),"T"&amp;CB126,CB126)</f>
        <v/>
      </c>
      <c r="BF126" s="30">
        <f>IF(IF(COUNTIF(CC$107:CC$126,CC126)&gt;1,TRUE,FALSE),"T"&amp;CC126,CC126)</f>
        <v/>
      </c>
      <c r="BG126">
        <f>IF(IF(COUNTIF(CD$107:CD$126,CD126)&gt;1,TRUE,FALSE),"T"&amp;CD126,CD126)</f>
        <v/>
      </c>
      <c r="BH126">
        <f>IF(IF(COUNTIF(CE$107:CE$126,CE126)&gt;1,TRUE,FALSE),"T"&amp;CE126,CE126)</f>
        <v/>
      </c>
      <c r="BI126">
        <f>IF(IF(COUNTIF(CF$107:CF$126,CF126)&gt;1,TRUE,FALSE),"T"&amp;CF126,CF126)</f>
        <v/>
      </c>
      <c r="BJ126">
        <f>IF(IF(COUNTIF(CG$107:CG$126,CG126)&gt;1,TRUE,FALSE),"T"&amp;CG126,CG126)</f>
        <v/>
      </c>
      <c r="BK126">
        <f>IF(IF(COUNTIF(CH$107:CH$126,CH126)&gt;1,TRUE,FALSE),"T"&amp;CH126,CH126)</f>
        <v/>
      </c>
      <c r="BL126">
        <f>IF(IF(COUNTIF(CI$107:CI$126,CI126)&gt;1,TRUE,FALSE),"T"&amp;CI126,CI126)</f>
        <v/>
      </c>
      <c r="BM126">
        <f>IF(IF(COUNTIF(CJ$107:CJ$126,CJ126)&gt;1,TRUE,FALSE),"T"&amp;CJ126,CJ126)</f>
        <v/>
      </c>
      <c r="BQ126" s="2">
        <f>SUM(J126,W126)/SUM(C126,P126)</f>
        <v/>
      </c>
      <c r="BT126">
        <f>RANK(D126,D$107:D$126)</f>
        <v/>
      </c>
      <c r="BU126">
        <f>RANK(Q126,Q$107:Q$126)</f>
        <v/>
      </c>
      <c r="BV126">
        <f>RANK(E126,E$107:E$126,1)</f>
        <v/>
      </c>
      <c r="BW126">
        <f>RANK(R126,R$107:R$126,1)</f>
        <v/>
      </c>
      <c r="BX126">
        <f>RANK(F126,F$107:F$126,1)</f>
        <v/>
      </c>
      <c r="BY126">
        <f>RANK(S126,S$107:S$126,1)</f>
        <v/>
      </c>
      <c r="BZ126">
        <f>RANK(J126,J$107:J$126)</f>
        <v/>
      </c>
      <c r="CA126">
        <f>RANK(W126,W$107:W$126)</f>
        <v/>
      </c>
      <c r="CB126">
        <f>RANK(K126,K$107:K$126)</f>
        <v/>
      </c>
      <c r="CC126">
        <f>RANK(X126,X$107:X$126)</f>
        <v/>
      </c>
      <c r="CD126" s="2">
        <f>RANK(BQ126,BQ$107:BQ$126)</f>
        <v/>
      </c>
      <c r="CE126">
        <f>RANK(G126,G$107:G$126)</f>
        <v/>
      </c>
      <c r="CF126">
        <f>RANK(T126,T$107:T$126)</f>
        <v/>
      </c>
      <c r="CG126">
        <f>RANK(H126,H$107:H$126,1)</f>
        <v/>
      </c>
      <c r="CH126">
        <f>RANK(U126,U$107:U$126,1)</f>
        <v/>
      </c>
      <c r="CI126">
        <f>RANK(I126,I$107:I$126,0)</f>
        <v/>
      </c>
      <c r="CJ126">
        <f>RANK(V126,V$107:V$126,0)</f>
        <v/>
      </c>
    </row>
    <row r="127" ht="17.1" customHeight="1" s="43">
      <c r="A127" s="3" t="inlineStr">
        <is>
          <t>vs Brighton</t>
        </is>
      </c>
      <c r="B127" s="13" t="n">
        <v>2</v>
      </c>
      <c r="C127" s="13" t="n">
        <v>38</v>
      </c>
      <c r="D127" s="13" t="n">
        <v>38</v>
      </c>
      <c r="E127" s="38" t="n">
        <v>3420</v>
      </c>
      <c r="F127" s="13" t="n">
        <v>38</v>
      </c>
      <c r="G127" s="13" t="n">
        <v>66</v>
      </c>
      <c r="H127" s="13" t="n">
        <v>1.74</v>
      </c>
      <c r="I127" s="13" t="n">
        <v>190</v>
      </c>
      <c r="J127" s="13" t="n">
        <v>126</v>
      </c>
      <c r="K127" s="13" t="n">
        <v>68.90000000000001</v>
      </c>
      <c r="L127" s="13" t="n">
        <v>9</v>
      </c>
      <c r="M127" s="13" t="n">
        <v>13</v>
      </c>
      <c r="N127" s="13" t="n">
        <v>16</v>
      </c>
      <c r="O127" s="13" t="n">
        <v>5</v>
      </c>
      <c r="P127" s="13" t="n">
        <v>13.2</v>
      </c>
      <c r="Q127" s="13" t="n">
        <v>7</v>
      </c>
      <c r="R127" s="13" t="n">
        <v>7</v>
      </c>
      <c r="S127" s="13" t="n">
        <v>0</v>
      </c>
      <c r="T127" s="13" t="n">
        <v>0</v>
      </c>
      <c r="U127" s="13" t="n">
        <v>0</v>
      </c>
    </row>
    <row r="128">
      <c r="A128" s="3" t="inlineStr">
        <is>
          <t>vs Chelsea</t>
        </is>
      </c>
      <c r="B128" s="13" t="n">
        <v>2</v>
      </c>
      <c r="C128" s="13" t="n">
        <v>38</v>
      </c>
      <c r="D128" s="13" t="n">
        <v>38</v>
      </c>
      <c r="E128" s="38" t="n">
        <v>3420</v>
      </c>
      <c r="F128" s="13" t="n">
        <v>38</v>
      </c>
      <c r="G128" s="13" t="n">
        <v>64</v>
      </c>
      <c r="H128" s="13" t="n">
        <v>1.68</v>
      </c>
      <c r="I128" s="13" t="n">
        <v>208</v>
      </c>
      <c r="J128" s="13" t="n">
        <v>146</v>
      </c>
      <c r="K128" s="13" t="n">
        <v>71.2</v>
      </c>
      <c r="L128" s="13" t="n">
        <v>9</v>
      </c>
      <c r="M128" s="13" t="n">
        <v>9</v>
      </c>
      <c r="N128" s="13" t="n">
        <v>20</v>
      </c>
      <c r="O128" s="13" t="n">
        <v>7</v>
      </c>
      <c r="P128" s="13" t="n">
        <v>18.4</v>
      </c>
      <c r="Q128" s="13" t="n">
        <v>5</v>
      </c>
      <c r="R128" s="13" t="n">
        <v>4</v>
      </c>
      <c r="S128" s="13" t="n">
        <v>1</v>
      </c>
      <c r="T128" s="13" t="n">
        <v>0</v>
      </c>
      <c r="U128" s="13" t="n">
        <v>20</v>
      </c>
    </row>
    <row r="129" ht="17.1" customHeight="1" s="43">
      <c r="A129" s="3" t="inlineStr">
        <is>
          <t>vs Crystal Palace</t>
        </is>
      </c>
      <c r="B129" s="13" t="n">
        <v>1</v>
      </c>
      <c r="C129" s="13" t="n">
        <v>38</v>
      </c>
      <c r="D129" s="13" t="n">
        <v>38</v>
      </c>
      <c r="E129" s="38" t="n">
        <v>3420</v>
      </c>
      <c r="F129" s="13" t="n">
        <v>38</v>
      </c>
      <c r="G129" s="13" t="n">
        <v>51</v>
      </c>
      <c r="H129" s="13" t="n">
        <v>1.34</v>
      </c>
      <c r="I129" s="13" t="n">
        <v>179</v>
      </c>
      <c r="J129" s="13" t="n">
        <v>129</v>
      </c>
      <c r="K129" s="13" t="n">
        <v>73.2</v>
      </c>
      <c r="L129" s="13" t="n">
        <v>11</v>
      </c>
      <c r="M129" s="13" t="n">
        <v>14</v>
      </c>
      <c r="N129" s="13" t="n">
        <v>13</v>
      </c>
      <c r="O129" s="13" t="n">
        <v>8</v>
      </c>
      <c r="P129" s="13" t="n">
        <v>21.1</v>
      </c>
      <c r="Q129" s="13" t="n">
        <v>4</v>
      </c>
      <c r="R129" s="13" t="n">
        <v>3</v>
      </c>
      <c r="S129" s="13" t="n">
        <v>1</v>
      </c>
      <c r="T129" s="13" t="n">
        <v>0</v>
      </c>
      <c r="U129" s="13" t="n">
        <v>25</v>
      </c>
    </row>
    <row r="130" ht="47.25" customHeight="1" s="43">
      <c r="A130" s="3" t="inlineStr">
        <is>
          <t>vs Everton</t>
        </is>
      </c>
      <c r="B130" s="13" t="n">
        <v>1</v>
      </c>
      <c r="C130" s="13" t="n">
        <v>38</v>
      </c>
      <c r="D130" s="13" t="n">
        <v>38</v>
      </c>
      <c r="E130" s="38" t="n">
        <v>3420</v>
      </c>
      <c r="F130" s="13" t="n">
        <v>38</v>
      </c>
      <c r="G130" s="13" t="n">
        <v>42</v>
      </c>
      <c r="H130" s="13" t="n">
        <v>1.11</v>
      </c>
      <c r="I130" s="13" t="n">
        <v>141</v>
      </c>
      <c r="J130" s="13" t="n">
        <v>102</v>
      </c>
      <c r="K130" s="13" t="n">
        <v>71.59999999999999</v>
      </c>
      <c r="L130" s="13" t="n">
        <v>12</v>
      </c>
      <c r="M130" s="13" t="n">
        <v>15</v>
      </c>
      <c r="N130" s="13" t="n">
        <v>11</v>
      </c>
      <c r="O130" s="13" t="n">
        <v>15</v>
      </c>
      <c r="P130" s="13" t="n">
        <v>39.5</v>
      </c>
      <c r="Q130" s="13" t="n">
        <v>2</v>
      </c>
      <c r="R130" s="13" t="n">
        <v>2</v>
      </c>
      <c r="S130" s="13" t="n">
        <v>0</v>
      </c>
      <c r="T130" s="13" t="n">
        <v>0</v>
      </c>
      <c r="U130" s="13" t="n">
        <v>0</v>
      </c>
      <c r="AV130" s="21" t="n"/>
      <c r="BA130" s="20" t="inlineStr">
        <is>
          <t>Team Goals</t>
        </is>
      </c>
      <c r="BB130" s="20" t="inlineStr">
        <is>
          <t xml:space="preserve">Goals Per Game </t>
        </is>
      </c>
      <c r="BC130" s="20" t="inlineStr">
        <is>
          <t>Non Penalty Goals</t>
        </is>
      </c>
      <c r="BD130" s="20" t="inlineStr">
        <is>
          <t>Goals From Penalty Kicks</t>
        </is>
      </c>
      <c r="BE130" s="22" t="inlineStr">
        <is>
          <t>Assists Per Game</t>
        </is>
      </c>
      <c r="BF130" s="22" t="inlineStr">
        <is>
          <t>Team Assists</t>
        </is>
      </c>
      <c r="BG130" s="22" t="inlineStr">
        <is>
          <t>Yellow Cards</t>
        </is>
      </c>
      <c r="BH130" s="22" t="inlineStr">
        <is>
          <t>Yellow Cards Per Game</t>
        </is>
      </c>
      <c r="BI130" s="22" t="inlineStr">
        <is>
          <t>Red Cards Per Game</t>
        </is>
      </c>
      <c r="BJ130" s="21" t="n"/>
      <c r="BK130" s="21" t="n"/>
      <c r="BL130" s="21" t="n"/>
      <c r="BM130" s="21" t="n"/>
      <c r="BN130" t="inlineStr">
        <is>
          <t>gls per game</t>
        </is>
      </c>
    </row>
    <row r="131">
      <c r="A131" s="3" t="inlineStr">
        <is>
          <t>vs Fulham</t>
        </is>
      </c>
      <c r="B131" s="13" t="n">
        <v>1</v>
      </c>
      <c r="C131" s="13" t="n">
        <v>38</v>
      </c>
      <c r="D131" s="13" t="n">
        <v>38</v>
      </c>
      <c r="E131" s="38" t="n">
        <v>3420</v>
      </c>
      <c r="F131" s="13" t="n">
        <v>38</v>
      </c>
      <c r="G131" s="13" t="n">
        <v>54</v>
      </c>
      <c r="H131" s="13" t="n">
        <v>1.42</v>
      </c>
      <c r="I131" s="13" t="n">
        <v>171</v>
      </c>
      <c r="J131" s="13" t="n">
        <v>117</v>
      </c>
      <c r="K131" s="13" t="n">
        <v>70.2</v>
      </c>
      <c r="L131" s="13" t="n">
        <v>14</v>
      </c>
      <c r="M131" s="13" t="n">
        <v>9</v>
      </c>
      <c r="N131" s="13" t="n">
        <v>15</v>
      </c>
      <c r="O131" s="13" t="n">
        <v>7</v>
      </c>
      <c r="P131" s="13" t="n">
        <v>18.4</v>
      </c>
      <c r="Q131" s="13" t="n">
        <v>4</v>
      </c>
      <c r="R131" s="13" t="n">
        <v>3</v>
      </c>
      <c r="S131" s="13" t="n">
        <v>1</v>
      </c>
      <c r="T131" s="13" t="n">
        <v>0</v>
      </c>
      <c r="U131" s="13" t="n">
        <v>25</v>
      </c>
      <c r="AZ131">
        <f>VLOOKUP(A131,Helpers!$F$4:$G$32,2,0)</f>
        <v/>
      </c>
      <c r="BA131">
        <f>IF(IF(COUNTIF(BT$131:BT$150,BT131)&gt;1,TRUE,FALSE),"T"&amp;BT131,BT131)</f>
        <v/>
      </c>
      <c r="BB131">
        <f>IF(IF(COUNTIF(BU$131:BU$150,BU131)&gt;1,TRUE,FALSE),"T"&amp;BU131,BU131)</f>
        <v/>
      </c>
      <c r="BC131">
        <f>IF(IF(COUNTIF(BV$131:BV$150,BV131)&gt;1,TRUE,FALSE),"T"&amp;BV131,BV131)</f>
        <v/>
      </c>
      <c r="BD131">
        <f>IF(IF(COUNTIF(BW$131:BW$150,BW131)&gt;1,TRUE,FALSE),"T"&amp;BW131,BW131)</f>
        <v/>
      </c>
      <c r="BE131">
        <f>IF(IF(COUNTIF(BX$131:BX$150,BX131)&gt;1,TRUE,FALSE),"T"&amp;BX131,BX131)</f>
        <v/>
      </c>
      <c r="BF131">
        <f>IF(IF(COUNTIF(BY$131:BY$150,BY131)&gt;1,TRUE,FALSE),"T"&amp;BY131,BY131)</f>
        <v/>
      </c>
      <c r="BG131">
        <f>IF(IF(COUNTIF(BZ$131:BZ$150,BZ131)&gt;1,TRUE,FALSE),"T"&amp;BZ131,BZ131)</f>
        <v/>
      </c>
      <c r="BH131">
        <f>IF(IF(COUNTIF(CA$131:CA$150,CA131)&gt;1,TRUE,FALSE),"T"&amp;CA131,CA131)</f>
        <v/>
      </c>
      <c r="BI131">
        <f>IF(IF(COUNTIF(CB$131:CB$150,CB131)&gt;1,TRUE,FALSE),"T"&amp;CB131,CB131)</f>
        <v/>
      </c>
      <c r="BL131" s="2">
        <f>O131/E131</f>
        <v/>
      </c>
      <c r="BM131" s="2">
        <f>P131/E131</f>
        <v/>
      </c>
      <c r="BN131" s="2">
        <f>_xlfn.XLOOKUP(AZ131,$AL$1:$AL$100,$G$1:$G$100,,0)/_xlfn.XLOOKUP(AZ131,$AL$1:$AL$100,$C$1:$C$100,,0)</f>
        <v/>
      </c>
      <c r="BT131">
        <f>RANK(I131,I$131:I$150)</f>
        <v/>
      </c>
      <c r="BU131">
        <f>RANK(BN131,BN$131:BN$150)</f>
        <v/>
      </c>
      <c r="BV131">
        <f>RANK(L131,L$131:L$150)</f>
        <v/>
      </c>
      <c r="BW131">
        <f>RANK(M131,M$131:M$150)</f>
        <v/>
      </c>
      <c r="BX131">
        <f>RANK(X131,X$131:X$150)</f>
        <v/>
      </c>
      <c r="BY131">
        <f>RANK(J131,J$131:J$150)</f>
        <v/>
      </c>
      <c r="BZ131">
        <f>RANK(O131,O$131:O$150,1)</f>
        <v/>
      </c>
      <c r="CA131" s="2">
        <f>RANK(BL131,BL$131:BL$150,1)</f>
        <v/>
      </c>
      <c r="CB131" s="2">
        <f>RANK(BM131,BM$131:BM$150,1)</f>
        <v/>
      </c>
    </row>
    <row r="132">
      <c r="A132" s="3" t="inlineStr">
        <is>
          <t>vs Ipswich Town</t>
        </is>
      </c>
      <c r="B132" s="13" t="n">
        <v>3</v>
      </c>
      <c r="C132" s="13" t="n">
        <v>38</v>
      </c>
      <c r="D132" s="13" t="n">
        <v>38</v>
      </c>
      <c r="E132" s="38" t="n">
        <v>3420</v>
      </c>
      <c r="F132" s="13" t="n">
        <v>38</v>
      </c>
      <c r="G132" s="13" t="n">
        <v>36</v>
      </c>
      <c r="H132" s="13" t="n">
        <v>0.95</v>
      </c>
      <c r="I132" s="13" t="n">
        <v>122</v>
      </c>
      <c r="J132" s="13" t="n">
        <v>87</v>
      </c>
      <c r="K132" s="13" t="n">
        <v>72.09999999999999</v>
      </c>
      <c r="L132" s="13" t="n">
        <v>24</v>
      </c>
      <c r="M132" s="13" t="n">
        <v>10</v>
      </c>
      <c r="N132" s="13" t="n">
        <v>4</v>
      </c>
      <c r="O132" s="13" t="n">
        <v>14</v>
      </c>
      <c r="P132" s="13" t="n">
        <v>36.8</v>
      </c>
      <c r="Q132" s="13" t="n">
        <v>2</v>
      </c>
      <c r="R132" s="13" t="n">
        <v>2</v>
      </c>
      <c r="S132" s="13" t="n">
        <v>0</v>
      </c>
      <c r="T132" s="13" t="n">
        <v>0</v>
      </c>
      <c r="U132" s="13" t="n">
        <v>0</v>
      </c>
      <c r="AZ132">
        <f>VLOOKUP(A132,Helpers!$F$4:$G$32,2,0)</f>
        <v/>
      </c>
      <c r="BA132">
        <f>IF(IF(COUNTIF(BT$131:BT$150,BT132)&gt;1,TRUE,FALSE),"T"&amp;BT132,BT132)</f>
        <v/>
      </c>
      <c r="BB132">
        <f>IF(IF(COUNTIF(BU$131:BU$150,BU132)&gt;1,TRUE,FALSE),"T"&amp;BU132,BU132)</f>
        <v/>
      </c>
      <c r="BC132">
        <f>IF(IF(COUNTIF(BV$131:BV$150,BV132)&gt;1,TRUE,FALSE),"T"&amp;BV132,BV132)</f>
        <v/>
      </c>
      <c r="BD132">
        <f>IF(IF(COUNTIF(BW$131:BW$150,BW132)&gt;1,TRUE,FALSE),"T"&amp;BW132,BW132)</f>
        <v/>
      </c>
      <c r="BE132">
        <f>IF(IF(COUNTIF(BX$131:BX$150,BX132)&gt;1,TRUE,FALSE),"T"&amp;BX132,BX132)</f>
        <v/>
      </c>
      <c r="BF132">
        <f>IF(IF(COUNTIF(BY$131:BY$150,BY132)&gt;1,TRUE,FALSE),"T"&amp;BY132,BY132)</f>
        <v/>
      </c>
      <c r="BG132">
        <f>IF(IF(COUNTIF(BZ$131:BZ$150,BZ132)&gt;1,TRUE,FALSE),"T"&amp;BZ132,BZ132)</f>
        <v/>
      </c>
      <c r="BH132">
        <f>IF(IF(COUNTIF(CA$131:CA$150,CA132)&gt;1,TRUE,FALSE),"T"&amp;CA132,CA132)</f>
        <v/>
      </c>
      <c r="BI132">
        <f>IF(IF(COUNTIF(CB$131:CB$150,CB132)&gt;1,TRUE,FALSE),"T"&amp;CB132,CB132)</f>
        <v/>
      </c>
      <c r="BL132" s="2">
        <f>O132/E132</f>
        <v/>
      </c>
      <c r="BM132" s="2">
        <f>P132/E132</f>
        <v/>
      </c>
      <c r="BN132" s="2">
        <f>_xlfn.XLOOKUP(AZ132,$AL$1:$AL$100,$G$1:$G$100,,0)/_xlfn.XLOOKUP(AZ132,$AL$1:$AL$100,$C$1:$C$100,,0)</f>
        <v/>
      </c>
      <c r="BT132">
        <f>RANK(I132,I$131:I$150)</f>
        <v/>
      </c>
      <c r="BU132">
        <f>RANK(BN132,BN$131:BN$150)</f>
        <v/>
      </c>
      <c r="BV132">
        <f>RANK(L132,L$131:L$150)</f>
        <v/>
      </c>
      <c r="BW132">
        <f>RANK(M132,M$131:M$150)</f>
        <v/>
      </c>
      <c r="BX132">
        <f>RANK(X132,X$131:X$150)</f>
        <v/>
      </c>
      <c r="BY132">
        <f>RANK(J132,J$131:J$150)</f>
        <v/>
      </c>
      <c r="BZ132">
        <f>RANK(O132,O$131:O$150,1)</f>
        <v/>
      </c>
      <c r="CA132" s="2">
        <f>RANK(BL132,BL$131:BL$150,1)</f>
        <v/>
      </c>
      <c r="CB132" s="2">
        <f>RANK(BM132,BM$131:BM$150,1)</f>
        <v/>
      </c>
    </row>
    <row r="133" ht="18" customHeight="1" s="43">
      <c r="A133" s="3" t="inlineStr">
        <is>
          <t>vs Leicester City</t>
        </is>
      </c>
      <c r="B133" s="13" t="n">
        <v>3</v>
      </c>
      <c r="C133" s="13" t="n">
        <v>38</v>
      </c>
      <c r="D133" s="13" t="n">
        <v>38</v>
      </c>
      <c r="E133" s="38" t="n">
        <v>3420</v>
      </c>
      <c r="F133" s="13" t="n">
        <v>38</v>
      </c>
      <c r="G133" s="13" t="n">
        <v>33</v>
      </c>
      <c r="H133" s="13" t="n">
        <v>0.87</v>
      </c>
      <c r="I133" s="13" t="n">
        <v>108</v>
      </c>
      <c r="J133" s="13" t="n">
        <v>74</v>
      </c>
      <c r="K133" s="13" t="n">
        <v>71.3</v>
      </c>
      <c r="L133" s="13" t="n">
        <v>25</v>
      </c>
      <c r="M133" s="13" t="n">
        <v>7</v>
      </c>
      <c r="N133" s="13" t="n">
        <v>6</v>
      </c>
      <c r="O133" s="13" t="n">
        <v>17</v>
      </c>
      <c r="P133" s="13" t="n">
        <v>44.7</v>
      </c>
      <c r="Q133" s="13" t="n">
        <v>3</v>
      </c>
      <c r="R133" s="13" t="n">
        <v>2</v>
      </c>
      <c r="S133" s="13" t="n">
        <v>1</v>
      </c>
      <c r="T133" s="13" t="n">
        <v>0</v>
      </c>
      <c r="U133" s="13" t="n">
        <v>33.3</v>
      </c>
      <c r="AZ133">
        <f>VLOOKUP(A133,Helpers!$F$4:$G$32,2,0)</f>
        <v/>
      </c>
      <c r="BA133">
        <f>IF(IF(COUNTIF(BT$131:BT$150,BT133)&gt;1,TRUE,FALSE),"T"&amp;BT133,BT133)</f>
        <v/>
      </c>
      <c r="BB133">
        <f>IF(IF(COUNTIF(BU$131:BU$150,BU133)&gt;1,TRUE,FALSE),"T"&amp;BU133,BU133)</f>
        <v/>
      </c>
      <c r="BC133">
        <f>IF(IF(COUNTIF(BV$131:BV$150,BV133)&gt;1,TRUE,FALSE),"T"&amp;BV133,BV133)</f>
        <v/>
      </c>
      <c r="BD133">
        <f>IF(IF(COUNTIF(BW$131:BW$150,BW133)&gt;1,TRUE,FALSE),"T"&amp;BW133,BW133)</f>
        <v/>
      </c>
      <c r="BE133">
        <f>IF(IF(COUNTIF(BX$131:BX$150,BX133)&gt;1,TRUE,FALSE),"T"&amp;BX133,BX133)</f>
        <v/>
      </c>
      <c r="BF133">
        <f>IF(IF(COUNTIF(BY$131:BY$150,BY133)&gt;1,TRUE,FALSE),"T"&amp;BY133,BY133)</f>
        <v/>
      </c>
      <c r="BG133">
        <f>IF(IF(COUNTIF(BZ$131:BZ$150,BZ133)&gt;1,TRUE,FALSE),"T"&amp;BZ133,BZ133)</f>
        <v/>
      </c>
      <c r="BH133">
        <f>IF(IF(COUNTIF(CA$131:CA$150,CA133)&gt;1,TRUE,FALSE),"T"&amp;CA133,CA133)</f>
        <v/>
      </c>
      <c r="BI133">
        <f>IF(IF(COUNTIF(CB$131:CB$150,CB133)&gt;1,TRUE,FALSE),"T"&amp;CB133,CB133)</f>
        <v/>
      </c>
      <c r="BL133" s="2">
        <f>O133/E133</f>
        <v/>
      </c>
      <c r="BM133" s="2">
        <f>P133/E133</f>
        <v/>
      </c>
      <c r="BN133" s="2">
        <f>_xlfn.XLOOKUP(AZ133,$AL$1:$AL$100,$G$1:$G$100,,0)/_xlfn.XLOOKUP(AZ133,$AL$1:$AL$100,$C$1:$C$100,,0)</f>
        <v/>
      </c>
      <c r="BT133">
        <f>RANK(I133,I$131:I$150)</f>
        <v/>
      </c>
      <c r="BU133">
        <f>RANK(BN133,BN$131:BN$150)</f>
        <v/>
      </c>
      <c r="BV133">
        <f>RANK(L133,L$131:L$150)</f>
        <v/>
      </c>
      <c r="BW133">
        <f>RANK(M133,M$131:M$150)</f>
        <v/>
      </c>
      <c r="BX133">
        <f>RANK(X133,X$131:X$150)</f>
        <v/>
      </c>
      <c r="BY133">
        <f>RANK(J133,J$131:J$150)</f>
        <v/>
      </c>
      <c r="BZ133">
        <f>RANK(O133,O$131:O$150,1)</f>
        <v/>
      </c>
      <c r="CA133" s="2">
        <f>RANK(BL133,BL$131:BL$150,1)</f>
        <v/>
      </c>
      <c r="CB133" s="2">
        <f>RANK(BM133,BM$131:BM$150,1)</f>
        <v/>
      </c>
    </row>
    <row r="134" ht="17.1" customHeight="1" s="43">
      <c r="A134" s="3" t="inlineStr">
        <is>
          <t>vs Liverpool</t>
        </is>
      </c>
      <c r="B134" s="13" t="n">
        <v>3</v>
      </c>
      <c r="C134" s="13" t="n">
        <v>38</v>
      </c>
      <c r="D134" s="13" t="n">
        <v>38</v>
      </c>
      <c r="E134" s="38" t="n">
        <v>3420</v>
      </c>
      <c r="F134" s="13" t="n">
        <v>38</v>
      </c>
      <c r="G134" s="13" t="n">
        <v>86</v>
      </c>
      <c r="H134" s="13" t="n">
        <v>2.26</v>
      </c>
      <c r="I134" s="13" t="n">
        <v>224</v>
      </c>
      <c r="J134" s="13" t="n">
        <v>139</v>
      </c>
      <c r="K134" s="13" t="n">
        <v>65.59999999999999</v>
      </c>
      <c r="L134" s="13" t="n">
        <v>4</v>
      </c>
      <c r="M134" s="13" t="n">
        <v>9</v>
      </c>
      <c r="N134" s="13" t="n">
        <v>25</v>
      </c>
      <c r="O134" s="13" t="n">
        <v>1</v>
      </c>
      <c r="P134" s="13" t="n">
        <v>2.6</v>
      </c>
      <c r="Q134" s="13" t="n">
        <v>9</v>
      </c>
      <c r="R134" s="13" t="n">
        <v>9</v>
      </c>
      <c r="S134" s="13" t="n">
        <v>0</v>
      </c>
      <c r="T134" s="13" t="n">
        <v>0</v>
      </c>
      <c r="U134" s="13" t="n">
        <v>0</v>
      </c>
      <c r="AZ134">
        <f>VLOOKUP(A134,Helpers!$F$4:$G$32,2,0)</f>
        <v/>
      </c>
      <c r="BA134">
        <f>IF(IF(COUNTIF(BT$131:BT$150,BT134)&gt;1,TRUE,FALSE),"T"&amp;BT134,BT134)</f>
        <v/>
      </c>
      <c r="BB134">
        <f>IF(IF(COUNTIF(BU$131:BU$150,BU134)&gt;1,TRUE,FALSE),"T"&amp;BU134,BU134)</f>
        <v/>
      </c>
      <c r="BC134">
        <f>IF(IF(COUNTIF(BV$131:BV$150,BV134)&gt;1,TRUE,FALSE),"T"&amp;BV134,BV134)</f>
        <v/>
      </c>
      <c r="BD134">
        <f>IF(IF(COUNTIF(BW$131:BW$150,BW134)&gt;1,TRUE,FALSE),"T"&amp;BW134,BW134)</f>
        <v/>
      </c>
      <c r="BE134">
        <f>IF(IF(COUNTIF(BX$131:BX$150,BX134)&gt;1,TRUE,FALSE),"T"&amp;BX134,BX134)</f>
        <v/>
      </c>
      <c r="BF134">
        <f>IF(IF(COUNTIF(BY$131:BY$150,BY134)&gt;1,TRUE,FALSE),"T"&amp;BY134,BY134)</f>
        <v/>
      </c>
      <c r="BG134">
        <f>IF(IF(COUNTIF(BZ$131:BZ$150,BZ134)&gt;1,TRUE,FALSE),"T"&amp;BZ134,BZ134)</f>
        <v/>
      </c>
      <c r="BH134">
        <f>IF(IF(COUNTIF(CA$131:CA$150,CA134)&gt;1,TRUE,FALSE),"T"&amp;CA134,CA134)</f>
        <v/>
      </c>
      <c r="BI134">
        <f>IF(IF(COUNTIF(CB$131:CB$150,CB134)&gt;1,TRUE,FALSE),"T"&amp;CB134,CB134)</f>
        <v/>
      </c>
      <c r="BL134" s="2">
        <f>O134/E134</f>
        <v/>
      </c>
      <c r="BM134" s="2">
        <f>P134/E134</f>
        <v/>
      </c>
      <c r="BN134" s="2">
        <f>_xlfn.XLOOKUP(AZ134,$AL$1:$AL$100,$G$1:$G$100,,0)/_xlfn.XLOOKUP(AZ134,$AL$1:$AL$100,$C$1:$C$100,,0)</f>
        <v/>
      </c>
      <c r="BT134">
        <f>RANK(I134,I$131:I$150)</f>
        <v/>
      </c>
      <c r="BU134">
        <f>RANK(BN134,BN$131:BN$150)</f>
        <v/>
      </c>
      <c r="BV134">
        <f>RANK(L134,L$131:L$150)</f>
        <v/>
      </c>
      <c r="BW134">
        <f>RANK(M134,M$131:M$150)</f>
        <v/>
      </c>
      <c r="BX134">
        <f>RANK(X134,X$131:X$150)</f>
        <v/>
      </c>
      <c r="BY134">
        <f>RANK(J134,J$131:J$150)</f>
        <v/>
      </c>
      <c r="BZ134">
        <f>RANK(O134,O$131:O$150,1)</f>
        <v/>
      </c>
      <c r="CA134" s="2">
        <f>RANK(BL134,BL$131:BL$150,1)</f>
        <v/>
      </c>
      <c r="CB134" s="2">
        <f>RANK(BM134,BM$131:BM$150,1)</f>
        <v/>
      </c>
    </row>
    <row r="135" ht="17.1" customHeight="1" s="43">
      <c r="A135" s="3" t="inlineStr">
        <is>
          <t>vs Manchester City</t>
        </is>
      </c>
      <c r="B135" s="13" t="n">
        <v>2</v>
      </c>
      <c r="C135" s="13" t="n">
        <v>38</v>
      </c>
      <c r="D135" s="13" t="n">
        <v>38</v>
      </c>
      <c r="E135" s="38" t="n">
        <v>3420</v>
      </c>
      <c r="F135" s="13" t="n">
        <v>38</v>
      </c>
      <c r="G135" s="13" t="n">
        <v>72</v>
      </c>
      <c r="H135" s="13" t="n">
        <v>1.89</v>
      </c>
      <c r="I135" s="13" t="n">
        <v>212</v>
      </c>
      <c r="J135" s="13" t="n">
        <v>140</v>
      </c>
      <c r="K135" s="13" t="n">
        <v>67.5</v>
      </c>
      <c r="L135" s="13" t="n">
        <v>9</v>
      </c>
      <c r="M135" s="13" t="n">
        <v>8</v>
      </c>
      <c r="N135" s="13" t="n">
        <v>21</v>
      </c>
      <c r="O135" s="13" t="n">
        <v>6</v>
      </c>
      <c r="P135" s="13" t="n">
        <v>15.8</v>
      </c>
      <c r="Q135" s="13" t="n">
        <v>4</v>
      </c>
      <c r="R135" s="13" t="n">
        <v>3</v>
      </c>
      <c r="S135" s="13" t="n">
        <v>1</v>
      </c>
      <c r="T135" s="13" t="n">
        <v>0</v>
      </c>
      <c r="U135" s="13" t="n">
        <v>25</v>
      </c>
      <c r="AZ135">
        <f>VLOOKUP(A135,Helpers!$F$4:$G$32,2,0)</f>
        <v/>
      </c>
      <c r="BA135">
        <f>IF(IF(COUNTIF(BT$131:BT$150,BT135)&gt;1,TRUE,FALSE),"T"&amp;BT135,BT135)</f>
        <v/>
      </c>
      <c r="BB135">
        <f>IF(IF(COUNTIF(BU$131:BU$150,BU135)&gt;1,TRUE,FALSE),"T"&amp;BU135,BU135)</f>
        <v/>
      </c>
      <c r="BC135">
        <f>IF(IF(COUNTIF(BV$131:BV$150,BV135)&gt;1,TRUE,FALSE),"T"&amp;BV135,BV135)</f>
        <v/>
      </c>
      <c r="BD135">
        <f>IF(IF(COUNTIF(BW$131:BW$150,BW135)&gt;1,TRUE,FALSE),"T"&amp;BW135,BW135)</f>
        <v/>
      </c>
      <c r="BE135">
        <f>IF(IF(COUNTIF(BX$131:BX$150,BX135)&gt;1,TRUE,FALSE),"T"&amp;BX135,BX135)</f>
        <v/>
      </c>
      <c r="BF135">
        <f>IF(IF(COUNTIF(BY$131:BY$150,BY135)&gt;1,TRUE,FALSE),"T"&amp;BY135,BY135)</f>
        <v/>
      </c>
      <c r="BG135">
        <f>IF(IF(COUNTIF(BZ$131:BZ$150,BZ135)&gt;1,TRUE,FALSE),"T"&amp;BZ135,BZ135)</f>
        <v/>
      </c>
      <c r="BH135">
        <f>IF(IF(COUNTIF(CA$131:CA$150,CA135)&gt;1,TRUE,FALSE),"T"&amp;CA135,CA135)</f>
        <v/>
      </c>
      <c r="BI135">
        <f>IF(IF(COUNTIF(CB$131:CB$150,CB135)&gt;1,TRUE,FALSE),"T"&amp;CB135,CB135)</f>
        <v/>
      </c>
      <c r="BL135" s="2">
        <f>O135/E135</f>
        <v/>
      </c>
      <c r="BM135" s="2">
        <f>P135/E135</f>
        <v/>
      </c>
      <c r="BN135" s="2">
        <f>_xlfn.XLOOKUP(AZ135,$AL$1:$AL$100,$G$1:$G$100,,0)/_xlfn.XLOOKUP(AZ135,$AL$1:$AL$100,$C$1:$C$100,,0)</f>
        <v/>
      </c>
      <c r="BT135">
        <f>RANK(I135,I$131:I$150)</f>
        <v/>
      </c>
      <c r="BU135">
        <f>RANK(BN135,BN$131:BN$150)</f>
        <v/>
      </c>
      <c r="BV135">
        <f>RANK(L135,L$131:L$150)</f>
        <v/>
      </c>
      <c r="BW135">
        <f>RANK(M135,M$131:M$150)</f>
        <v/>
      </c>
      <c r="BX135">
        <f>RANK(X135,X$131:X$150)</f>
        <v/>
      </c>
      <c r="BY135">
        <f>RANK(J135,J$131:J$150)</f>
        <v/>
      </c>
      <c r="BZ135">
        <f>RANK(O135,O$131:O$150,1)</f>
        <v/>
      </c>
      <c r="CA135" s="2">
        <f>RANK(BL135,BL$131:BL$150,1)</f>
        <v/>
      </c>
      <c r="CB135" s="2">
        <f>RANK(BM135,BM$131:BM$150,1)</f>
        <v/>
      </c>
    </row>
    <row r="136">
      <c r="A136" s="3" t="inlineStr">
        <is>
          <t>vs Manchester Utd</t>
        </is>
      </c>
      <c r="B136" s="13" t="n">
        <v>2</v>
      </c>
      <c r="C136" s="13" t="n">
        <v>38</v>
      </c>
      <c r="D136" s="13" t="n">
        <v>38</v>
      </c>
      <c r="E136" s="38" t="n">
        <v>3420</v>
      </c>
      <c r="F136" s="13" t="n">
        <v>38</v>
      </c>
      <c r="G136" s="13" t="n">
        <v>44</v>
      </c>
      <c r="H136" s="13" t="n">
        <v>1.16</v>
      </c>
      <c r="I136" s="13" t="n">
        <v>172</v>
      </c>
      <c r="J136" s="13" t="n">
        <v>130</v>
      </c>
      <c r="K136" s="13" t="n">
        <v>76.7</v>
      </c>
      <c r="L136" s="13" t="n">
        <v>18</v>
      </c>
      <c r="M136" s="13" t="n">
        <v>9</v>
      </c>
      <c r="N136" s="13" t="n">
        <v>11</v>
      </c>
      <c r="O136" s="13" t="n">
        <v>15</v>
      </c>
      <c r="P136" s="13" t="n">
        <v>39.5</v>
      </c>
      <c r="Q136" s="13" t="n">
        <v>4</v>
      </c>
      <c r="R136" s="13" t="n">
        <v>4</v>
      </c>
      <c r="S136" s="13" t="n">
        <v>0</v>
      </c>
      <c r="T136" s="13" t="n">
        <v>0</v>
      </c>
      <c r="U136" s="13" t="n">
        <v>0</v>
      </c>
      <c r="AZ136">
        <f>VLOOKUP(A136,Helpers!$F$4:$G$32,2,0)</f>
        <v/>
      </c>
      <c r="BA136">
        <f>IF(IF(COUNTIF(BT$131:BT$150,BT136)&gt;1,TRUE,FALSE),"T"&amp;BT136,BT136)</f>
        <v/>
      </c>
      <c r="BB136">
        <f>IF(IF(COUNTIF(BU$131:BU$150,BU136)&gt;1,TRUE,FALSE),"T"&amp;BU136,BU136)</f>
        <v/>
      </c>
      <c r="BC136">
        <f>IF(IF(COUNTIF(BV$131:BV$150,BV136)&gt;1,TRUE,FALSE),"T"&amp;BV136,BV136)</f>
        <v/>
      </c>
      <c r="BD136">
        <f>IF(IF(COUNTIF(BW$131:BW$150,BW136)&gt;1,TRUE,FALSE),"T"&amp;BW136,BW136)</f>
        <v/>
      </c>
      <c r="BE136">
        <f>IF(IF(COUNTIF(BX$131:BX$150,BX136)&gt;1,TRUE,FALSE),"T"&amp;BX136,BX136)</f>
        <v/>
      </c>
      <c r="BF136">
        <f>IF(IF(COUNTIF(BY$131:BY$150,BY136)&gt;1,TRUE,FALSE),"T"&amp;BY136,BY136)</f>
        <v/>
      </c>
      <c r="BG136">
        <f>IF(IF(COUNTIF(BZ$131:BZ$150,BZ136)&gt;1,TRUE,FALSE),"T"&amp;BZ136,BZ136)</f>
        <v/>
      </c>
      <c r="BH136">
        <f>IF(IF(COUNTIF(CA$131:CA$150,CA136)&gt;1,TRUE,FALSE),"T"&amp;CA136,CA136)</f>
        <v/>
      </c>
      <c r="BI136">
        <f>IF(IF(COUNTIF(CB$131:CB$150,CB136)&gt;1,TRUE,FALSE),"T"&amp;CB136,CB136)</f>
        <v/>
      </c>
      <c r="BL136" s="2">
        <f>O136/E136</f>
        <v/>
      </c>
      <c r="BM136" s="2">
        <f>P136/E136</f>
        <v/>
      </c>
      <c r="BN136" s="2">
        <f>_xlfn.XLOOKUP(AZ136,$AL$1:$AL$100,$G$1:$G$100,,0)/_xlfn.XLOOKUP(AZ136,$AL$1:$AL$100,$C$1:$C$100,,0)</f>
        <v/>
      </c>
      <c r="BT136">
        <f>RANK(I136,I$131:I$150)</f>
        <v/>
      </c>
      <c r="BU136">
        <f>RANK(BN136,BN$131:BN$150)</f>
        <v/>
      </c>
      <c r="BV136">
        <f>RANK(L136,L$131:L$150)</f>
        <v/>
      </c>
      <c r="BW136">
        <f>RANK(M136,M$131:M$150)</f>
        <v/>
      </c>
      <c r="BX136">
        <f>RANK(X136,X$131:X$150)</f>
        <v/>
      </c>
      <c r="BY136">
        <f>RANK(J136,J$131:J$150)</f>
        <v/>
      </c>
      <c r="BZ136">
        <f>RANK(O136,O$131:O$150,1)</f>
        <v/>
      </c>
      <c r="CA136" s="2">
        <f>RANK(BL136,BL$131:BL$150,1)</f>
        <v/>
      </c>
      <c r="CB136" s="2">
        <f>RANK(BM136,BM$131:BM$150,1)</f>
        <v/>
      </c>
    </row>
    <row r="137" ht="15.75" customHeight="1" s="43">
      <c r="A137" s="3" t="inlineStr">
        <is>
          <t>vs Newcastle Utd</t>
        </is>
      </c>
      <c r="B137" s="13" t="n">
        <v>2</v>
      </c>
      <c r="C137" s="13" t="n">
        <v>38</v>
      </c>
      <c r="D137" s="13" t="n">
        <v>38</v>
      </c>
      <c r="E137" s="38" t="n">
        <v>3420</v>
      </c>
      <c r="F137" s="13" t="n">
        <v>38</v>
      </c>
      <c r="G137" s="13" t="n">
        <v>68</v>
      </c>
      <c r="H137" s="13" t="n">
        <v>1.79</v>
      </c>
      <c r="I137" s="13" t="n">
        <v>169</v>
      </c>
      <c r="J137" s="13" t="n">
        <v>102</v>
      </c>
      <c r="K137" s="13" t="n">
        <v>62.7</v>
      </c>
      <c r="L137" s="13" t="n">
        <v>12</v>
      </c>
      <c r="M137" s="13" t="n">
        <v>6</v>
      </c>
      <c r="N137" s="13" t="n">
        <v>20</v>
      </c>
      <c r="O137" s="13" t="n">
        <v>7</v>
      </c>
      <c r="P137" s="13" t="n">
        <v>18.4</v>
      </c>
      <c r="Q137" s="13" t="n">
        <v>6</v>
      </c>
      <c r="R137" s="13" t="n">
        <v>5</v>
      </c>
      <c r="S137" s="13" t="n">
        <v>1</v>
      </c>
      <c r="T137" s="13" t="n">
        <v>0</v>
      </c>
      <c r="U137" s="13" t="n">
        <v>16.7</v>
      </c>
      <c r="AZ137">
        <f>VLOOKUP(A137,Helpers!$F$4:$G$32,2,0)</f>
        <v/>
      </c>
      <c r="BA137">
        <f>IF(IF(COUNTIF(BT$131:BT$150,BT137)&gt;1,TRUE,FALSE),"T"&amp;BT137,BT137)</f>
        <v/>
      </c>
      <c r="BB137">
        <f>IF(IF(COUNTIF(BU$131:BU$150,BU137)&gt;1,TRUE,FALSE),"T"&amp;BU137,BU137)</f>
        <v/>
      </c>
      <c r="BC137">
        <f>IF(IF(COUNTIF(BV$131:BV$150,BV137)&gt;1,TRUE,FALSE),"T"&amp;BV137,BV137)</f>
        <v/>
      </c>
      <c r="BD137">
        <f>IF(IF(COUNTIF(BW$131:BW$150,BW137)&gt;1,TRUE,FALSE),"T"&amp;BW137,BW137)</f>
        <v/>
      </c>
      <c r="BE137">
        <f>IF(IF(COUNTIF(BX$131:BX$150,BX137)&gt;1,TRUE,FALSE),"T"&amp;BX137,BX137)</f>
        <v/>
      </c>
      <c r="BF137">
        <f>IF(IF(COUNTIF(BY$131:BY$150,BY137)&gt;1,TRUE,FALSE),"T"&amp;BY137,BY137)</f>
        <v/>
      </c>
      <c r="BG137">
        <f>IF(IF(COUNTIF(BZ$131:BZ$150,BZ137)&gt;1,TRUE,FALSE),"T"&amp;BZ137,BZ137)</f>
        <v/>
      </c>
      <c r="BH137">
        <f>IF(IF(COUNTIF(CA$131:CA$150,CA137)&gt;1,TRUE,FALSE),"T"&amp;CA137,CA137)</f>
        <v/>
      </c>
      <c r="BI137">
        <f>IF(IF(COUNTIF(CB$131:CB$150,CB137)&gt;1,TRUE,FALSE),"T"&amp;CB137,CB137)</f>
        <v/>
      </c>
      <c r="BL137" s="2">
        <f>O137/E137</f>
        <v/>
      </c>
      <c r="BM137" s="2">
        <f>P137/E137</f>
        <v/>
      </c>
      <c r="BN137" s="2">
        <f>_xlfn.XLOOKUP(AZ137,$AL$1:$AL$100,$G$1:$G$100,,0)/_xlfn.XLOOKUP(AZ137,$AL$1:$AL$100,$C$1:$C$100,,0)</f>
        <v/>
      </c>
      <c r="BT137">
        <f>RANK(I137,I$131:I$150)</f>
        <v/>
      </c>
      <c r="BU137">
        <f>RANK(BN137,BN$131:BN$150)</f>
        <v/>
      </c>
      <c r="BV137">
        <f>RANK(L137,L$131:L$150)</f>
        <v/>
      </c>
      <c r="BW137">
        <f>RANK(M137,M$131:M$150)</f>
        <v/>
      </c>
      <c r="BX137">
        <f>RANK(X137,X$131:X$150)</f>
        <v/>
      </c>
      <c r="BY137">
        <f>RANK(J137,J$131:J$150)</f>
        <v/>
      </c>
      <c r="BZ137">
        <f>RANK(O137,O$131:O$150,1)</f>
        <v/>
      </c>
      <c r="CA137" s="2">
        <f>RANK(BL137,BL$131:BL$150,1)</f>
        <v/>
      </c>
      <c r="CB137" s="2">
        <f>RANK(BM137,BM$131:BM$150,1)</f>
        <v/>
      </c>
    </row>
    <row r="138">
      <c r="A138" s="3" t="inlineStr">
        <is>
          <t>vs Nott'ham Forest</t>
        </is>
      </c>
      <c r="B138" s="13" t="n">
        <v>1</v>
      </c>
      <c r="C138" s="13" t="n">
        <v>38</v>
      </c>
      <c r="D138" s="13" t="n">
        <v>38</v>
      </c>
      <c r="E138" s="38" t="n">
        <v>3420</v>
      </c>
      <c r="F138" s="13" t="n">
        <v>38</v>
      </c>
      <c r="G138" s="13" t="n">
        <v>58</v>
      </c>
      <c r="H138" s="13" t="n">
        <v>1.53</v>
      </c>
      <c r="I138" s="13" t="n">
        <v>165</v>
      </c>
      <c r="J138" s="13" t="n">
        <v>108</v>
      </c>
      <c r="K138" s="13" t="n">
        <v>66.7</v>
      </c>
      <c r="L138" s="13" t="n">
        <v>11</v>
      </c>
      <c r="M138" s="13" t="n">
        <v>8</v>
      </c>
      <c r="N138" s="13" t="n">
        <v>19</v>
      </c>
      <c r="O138" s="13" t="n">
        <v>8</v>
      </c>
      <c r="P138" s="13" t="n">
        <v>21.1</v>
      </c>
      <c r="Q138" s="13" t="n">
        <v>3</v>
      </c>
      <c r="R138" s="13" t="n">
        <v>3</v>
      </c>
      <c r="S138" s="13" t="n">
        <v>0</v>
      </c>
      <c r="T138" s="13" t="n">
        <v>0</v>
      </c>
      <c r="U138" s="13" t="n">
        <v>0</v>
      </c>
      <c r="AZ138">
        <f>VLOOKUP(A138,Helpers!$F$4:$G$32,2,0)</f>
        <v/>
      </c>
      <c r="BA138">
        <f>IF(IF(COUNTIF(BT$131:BT$150,BT138)&gt;1,TRUE,FALSE),"T"&amp;BT138,BT138)</f>
        <v/>
      </c>
      <c r="BB138">
        <f>IF(IF(COUNTIF(BU$131:BU$150,BU138)&gt;1,TRUE,FALSE),"T"&amp;BU138,BU138)</f>
        <v/>
      </c>
      <c r="BC138">
        <f>IF(IF(COUNTIF(BV$131:BV$150,BV138)&gt;1,TRUE,FALSE),"T"&amp;BV138,BV138)</f>
        <v/>
      </c>
      <c r="BD138">
        <f>IF(IF(COUNTIF(BW$131:BW$150,BW138)&gt;1,TRUE,FALSE),"T"&amp;BW138,BW138)</f>
        <v/>
      </c>
      <c r="BE138">
        <f>IF(IF(COUNTIF(BX$131:BX$150,BX138)&gt;1,TRUE,FALSE),"T"&amp;BX138,BX138)</f>
        <v/>
      </c>
      <c r="BF138">
        <f>IF(IF(COUNTIF(BY$131:BY$150,BY138)&gt;1,TRUE,FALSE),"T"&amp;BY138,BY138)</f>
        <v/>
      </c>
      <c r="BG138">
        <f>IF(IF(COUNTIF(BZ$131:BZ$150,BZ138)&gt;1,TRUE,FALSE),"T"&amp;BZ138,BZ138)</f>
        <v/>
      </c>
      <c r="BH138">
        <f>IF(IF(COUNTIF(CA$131:CA$150,CA138)&gt;1,TRUE,FALSE),"T"&amp;CA138,CA138)</f>
        <v/>
      </c>
      <c r="BI138">
        <f>IF(IF(COUNTIF(CB$131:CB$150,CB138)&gt;1,TRUE,FALSE),"T"&amp;CB138,CB138)</f>
        <v/>
      </c>
      <c r="BL138" s="2">
        <f>O138/E138</f>
        <v/>
      </c>
      <c r="BM138" s="2">
        <f>P138/E138</f>
        <v/>
      </c>
      <c r="BN138" s="2">
        <f>_xlfn.XLOOKUP(AZ138,$AL$1:$AL$100,$G$1:$G$100,,0)/_xlfn.XLOOKUP(AZ138,$AL$1:$AL$100,$C$1:$C$100,,0)</f>
        <v/>
      </c>
      <c r="BT138">
        <f>RANK(I138,I$131:I$150)</f>
        <v/>
      </c>
      <c r="BU138">
        <f>RANK(BN138,BN$131:BN$150)</f>
        <v/>
      </c>
      <c r="BV138">
        <f>RANK(L138,L$131:L$150)</f>
        <v/>
      </c>
      <c r="BW138">
        <f>RANK(M138,M$131:M$150)</f>
        <v/>
      </c>
      <c r="BX138">
        <f>RANK(X138,X$131:X$150)</f>
        <v/>
      </c>
      <c r="BY138">
        <f>RANK(J138,J$131:J$150)</f>
        <v/>
      </c>
      <c r="BZ138">
        <f>RANK(O138,O$131:O$150,1)</f>
        <v/>
      </c>
      <c r="CA138" s="2">
        <f>RANK(BL138,BL$131:BL$150,1)</f>
        <v/>
      </c>
      <c r="CB138" s="2">
        <f>RANK(BM138,BM$131:BM$150,1)</f>
        <v/>
      </c>
    </row>
    <row r="139" ht="18" customHeight="1" s="43">
      <c r="A139" s="3" t="inlineStr">
        <is>
          <t>vs Southampton</t>
        </is>
      </c>
      <c r="B139" s="13" t="n">
        <v>3</v>
      </c>
      <c r="C139" s="13" t="n">
        <v>38</v>
      </c>
      <c r="D139" s="13" t="n">
        <v>38</v>
      </c>
      <c r="E139" s="38" t="n">
        <v>3420</v>
      </c>
      <c r="F139" s="13" t="n">
        <v>38</v>
      </c>
      <c r="G139" s="13" t="n">
        <v>26</v>
      </c>
      <c r="H139" s="13" t="n">
        <v>0.68</v>
      </c>
      <c r="I139" s="13" t="n">
        <v>108</v>
      </c>
      <c r="J139" s="13" t="n">
        <v>81</v>
      </c>
      <c r="K139" s="13" t="n">
        <v>75.90000000000001</v>
      </c>
      <c r="L139" s="13" t="n">
        <v>30</v>
      </c>
      <c r="M139" s="13" t="n">
        <v>6</v>
      </c>
      <c r="N139" s="13" t="n">
        <v>2</v>
      </c>
      <c r="O139" s="13" t="n">
        <v>16</v>
      </c>
      <c r="P139" s="13" t="n">
        <v>42.1</v>
      </c>
      <c r="Q139" s="13" t="n">
        <v>2</v>
      </c>
      <c r="R139" s="13" t="n">
        <v>0</v>
      </c>
      <c r="S139" s="13" t="n">
        <v>2</v>
      </c>
      <c r="T139" s="13" t="n">
        <v>0</v>
      </c>
      <c r="U139" s="13" t="n">
        <v>100</v>
      </c>
      <c r="AZ139">
        <f>VLOOKUP(A139,Helpers!$F$4:$G$32,2,0)</f>
        <v/>
      </c>
      <c r="BA139">
        <f>IF(IF(COUNTIF(BT$131:BT$150,BT139)&gt;1,TRUE,FALSE),"T"&amp;BT139,BT139)</f>
        <v/>
      </c>
      <c r="BB139">
        <f>IF(IF(COUNTIF(BU$131:BU$150,BU139)&gt;1,TRUE,FALSE),"T"&amp;BU139,BU139)</f>
        <v/>
      </c>
      <c r="BC139">
        <f>IF(IF(COUNTIF(BV$131:BV$150,BV139)&gt;1,TRUE,FALSE),"T"&amp;BV139,BV139)</f>
        <v/>
      </c>
      <c r="BD139">
        <f>IF(IF(COUNTIF(BW$131:BW$150,BW139)&gt;1,TRUE,FALSE),"T"&amp;BW139,BW139)</f>
        <v/>
      </c>
      <c r="BE139">
        <f>IF(IF(COUNTIF(BX$131:BX$150,BX139)&gt;1,TRUE,FALSE),"T"&amp;BX139,BX139)</f>
        <v/>
      </c>
      <c r="BF139">
        <f>IF(IF(COUNTIF(BY$131:BY$150,BY139)&gt;1,TRUE,FALSE),"T"&amp;BY139,BY139)</f>
        <v/>
      </c>
      <c r="BG139">
        <f>IF(IF(COUNTIF(BZ$131:BZ$150,BZ139)&gt;1,TRUE,FALSE),"T"&amp;BZ139,BZ139)</f>
        <v/>
      </c>
      <c r="BH139">
        <f>IF(IF(COUNTIF(CA$131:CA$150,CA139)&gt;1,TRUE,FALSE),"T"&amp;CA139,CA139)</f>
        <v/>
      </c>
      <c r="BI139">
        <f>IF(IF(COUNTIF(CB$131:CB$150,CB139)&gt;1,TRUE,FALSE),"T"&amp;CB139,CB139)</f>
        <v/>
      </c>
      <c r="BL139" s="2">
        <f>O139/E139</f>
        <v/>
      </c>
      <c r="BM139" s="2">
        <f>P139/E139</f>
        <v/>
      </c>
      <c r="BN139" s="2">
        <f>_xlfn.XLOOKUP(AZ139,$AL$1:$AL$100,$G$1:$G$100,,0)/_xlfn.XLOOKUP(AZ139,$AL$1:$AL$100,$C$1:$C$100,,0)</f>
        <v/>
      </c>
      <c r="BT139">
        <f>RANK(I139,I$131:I$150)</f>
        <v/>
      </c>
      <c r="BU139">
        <f>RANK(BN139,BN$131:BN$150)</f>
        <v/>
      </c>
      <c r="BV139">
        <f>RANK(L139,L$131:L$150)</f>
        <v/>
      </c>
      <c r="BW139">
        <f>RANK(M139,M$131:M$150)</f>
        <v/>
      </c>
      <c r="BX139">
        <f>RANK(X139,X$131:X$150)</f>
        <v/>
      </c>
      <c r="BY139">
        <f>RANK(J139,J$131:J$150)</f>
        <v/>
      </c>
      <c r="BZ139">
        <f>RANK(O139,O$131:O$150,1)</f>
        <v/>
      </c>
      <c r="CA139" s="2">
        <f>RANK(BL139,BL$131:BL$150,1)</f>
        <v/>
      </c>
      <c r="CB139" s="2">
        <f>RANK(BM139,BM$131:BM$150,1)</f>
        <v/>
      </c>
    </row>
    <row r="140" ht="17.1" customHeight="1" s="43">
      <c r="A140" s="3" t="inlineStr">
        <is>
          <t>vs Tottenham</t>
        </is>
      </c>
      <c r="B140" s="13" t="n">
        <v>4</v>
      </c>
      <c r="C140" s="13" t="n">
        <v>38</v>
      </c>
      <c r="D140" s="13" t="n">
        <v>38</v>
      </c>
      <c r="E140" s="38" t="n">
        <v>3420</v>
      </c>
      <c r="F140" s="13" t="n">
        <v>38</v>
      </c>
      <c r="G140" s="13" t="n">
        <v>64</v>
      </c>
      <c r="H140" s="13" t="n">
        <v>1.68</v>
      </c>
      <c r="I140" s="13" t="n">
        <v>181</v>
      </c>
      <c r="J140" s="13" t="n">
        <v>119</v>
      </c>
      <c r="K140" s="13" t="n">
        <v>66.3</v>
      </c>
      <c r="L140" s="13" t="n">
        <v>22</v>
      </c>
      <c r="M140" s="13" t="n">
        <v>5</v>
      </c>
      <c r="N140" s="13" t="n">
        <v>11</v>
      </c>
      <c r="O140" s="13" t="n">
        <v>9</v>
      </c>
      <c r="P140" s="13" t="n">
        <v>23.7</v>
      </c>
      <c r="Q140" s="13" t="n">
        <v>4</v>
      </c>
      <c r="R140" s="13" t="n">
        <v>3</v>
      </c>
      <c r="S140" s="13" t="n">
        <v>1</v>
      </c>
      <c r="T140" s="13" t="n">
        <v>0</v>
      </c>
      <c r="U140" s="13" t="n">
        <v>25</v>
      </c>
      <c r="AZ140">
        <f>VLOOKUP(A140,Helpers!$F$4:$G$32,2,0)</f>
        <v/>
      </c>
      <c r="BA140">
        <f>IF(IF(COUNTIF(BT$131:BT$150,BT140)&gt;1,TRUE,FALSE),"T"&amp;BT140,BT140)</f>
        <v/>
      </c>
      <c r="BB140">
        <f>IF(IF(COUNTIF(BU$131:BU$150,BU140)&gt;1,TRUE,FALSE),"T"&amp;BU140,BU140)</f>
        <v/>
      </c>
      <c r="BC140">
        <f>IF(IF(COUNTIF(BV$131:BV$150,BV140)&gt;1,TRUE,FALSE),"T"&amp;BV140,BV140)</f>
        <v/>
      </c>
      <c r="BD140">
        <f>IF(IF(COUNTIF(BW$131:BW$150,BW140)&gt;1,TRUE,FALSE),"T"&amp;BW140,BW140)</f>
        <v/>
      </c>
      <c r="BE140">
        <f>IF(IF(COUNTIF(BX$131:BX$150,BX140)&gt;1,TRUE,FALSE),"T"&amp;BX140,BX140)</f>
        <v/>
      </c>
      <c r="BF140">
        <f>IF(IF(COUNTIF(BY$131:BY$150,BY140)&gt;1,TRUE,FALSE),"T"&amp;BY140,BY140)</f>
        <v/>
      </c>
      <c r="BG140">
        <f>IF(IF(COUNTIF(BZ$131:BZ$150,BZ140)&gt;1,TRUE,FALSE),"T"&amp;BZ140,BZ140)</f>
        <v/>
      </c>
      <c r="BH140">
        <f>IF(IF(COUNTIF(CA$131:CA$150,CA140)&gt;1,TRUE,FALSE),"T"&amp;CA140,CA140)</f>
        <v/>
      </c>
      <c r="BI140">
        <f>IF(IF(COUNTIF(CB$131:CB$150,CB140)&gt;1,TRUE,FALSE),"T"&amp;CB140,CB140)</f>
        <v/>
      </c>
      <c r="BL140" s="2">
        <f>O140/E140</f>
        <v/>
      </c>
      <c r="BM140" s="2">
        <f>P140/E140</f>
        <v/>
      </c>
      <c r="BN140" s="2">
        <f>_xlfn.XLOOKUP(AZ140,$AL$1:$AL$100,$G$1:$G$100,,0)/_xlfn.XLOOKUP(AZ140,$AL$1:$AL$100,$C$1:$C$100,,0)</f>
        <v/>
      </c>
      <c r="BT140">
        <f>RANK(I140,I$131:I$150)</f>
        <v/>
      </c>
      <c r="BU140">
        <f>RANK(BN140,BN$131:BN$150)</f>
        <v/>
      </c>
      <c r="BV140">
        <f>RANK(L140,L$131:L$150)</f>
        <v/>
      </c>
      <c r="BW140">
        <f>RANK(M140,M$131:M$150)</f>
        <v/>
      </c>
      <c r="BX140">
        <f>RANK(X140,X$131:X$150)</f>
        <v/>
      </c>
      <c r="BY140">
        <f>RANK(J140,J$131:J$150)</f>
        <v/>
      </c>
      <c r="BZ140">
        <f>RANK(O140,O$131:O$150,1)</f>
        <v/>
      </c>
      <c r="CA140" s="2">
        <f>RANK(BL140,BL$131:BL$150,1)</f>
        <v/>
      </c>
      <c r="CB140" s="2">
        <f>RANK(BM140,BM$131:BM$150,1)</f>
        <v/>
      </c>
    </row>
    <row r="141" ht="17.1" customHeight="1" s="43">
      <c r="A141" s="3" t="inlineStr">
        <is>
          <t>vs West Ham</t>
        </is>
      </c>
      <c r="B141" s="13" t="n">
        <v>2</v>
      </c>
      <c r="C141" s="13" t="n">
        <v>38</v>
      </c>
      <c r="D141" s="13" t="n">
        <v>38</v>
      </c>
      <c r="E141" s="38" t="n">
        <v>3420</v>
      </c>
      <c r="F141" s="13" t="n">
        <v>38</v>
      </c>
      <c r="G141" s="13" t="n">
        <v>46</v>
      </c>
      <c r="H141" s="13" t="n">
        <v>1.21</v>
      </c>
      <c r="I141" s="13" t="n">
        <v>140</v>
      </c>
      <c r="J141" s="13" t="n">
        <v>97</v>
      </c>
      <c r="K141" s="13" t="n">
        <v>69.3</v>
      </c>
      <c r="L141" s="13" t="n">
        <v>17</v>
      </c>
      <c r="M141" s="13" t="n">
        <v>10</v>
      </c>
      <c r="N141" s="13" t="n">
        <v>11</v>
      </c>
      <c r="O141" s="13" t="n">
        <v>8</v>
      </c>
      <c r="P141" s="13" t="n">
        <v>21.1</v>
      </c>
      <c r="Q141" s="13" t="n">
        <v>3</v>
      </c>
      <c r="R141" s="13" t="n">
        <v>3</v>
      </c>
      <c r="S141" s="13" t="n">
        <v>0</v>
      </c>
      <c r="T141" s="13" t="n">
        <v>0</v>
      </c>
      <c r="U141" s="13" t="n">
        <v>0</v>
      </c>
      <c r="AZ141">
        <f>VLOOKUP(A141,Helpers!$F$4:$G$32,2,0)</f>
        <v/>
      </c>
      <c r="BA141">
        <f>IF(IF(COUNTIF(BT$131:BT$150,BT141)&gt;1,TRUE,FALSE),"T"&amp;BT141,BT141)</f>
        <v/>
      </c>
      <c r="BB141">
        <f>IF(IF(COUNTIF(BU$131:BU$150,BU141)&gt;1,TRUE,FALSE),"T"&amp;BU141,BU141)</f>
        <v/>
      </c>
      <c r="BC141">
        <f>IF(IF(COUNTIF(BV$131:BV$150,BV141)&gt;1,TRUE,FALSE),"T"&amp;BV141,BV141)</f>
        <v/>
      </c>
      <c r="BD141">
        <f>IF(IF(COUNTIF(BW$131:BW$150,BW141)&gt;1,TRUE,FALSE),"T"&amp;BW141,BW141)</f>
        <v/>
      </c>
      <c r="BE141">
        <f>IF(IF(COUNTIF(BX$131:BX$150,BX141)&gt;1,TRUE,FALSE),"T"&amp;BX141,BX141)</f>
        <v/>
      </c>
      <c r="BF141">
        <f>IF(IF(COUNTIF(BY$131:BY$150,BY141)&gt;1,TRUE,FALSE),"T"&amp;BY141,BY141)</f>
        <v/>
      </c>
      <c r="BG141">
        <f>IF(IF(COUNTIF(BZ$131:BZ$150,BZ141)&gt;1,TRUE,FALSE),"T"&amp;BZ141,BZ141)</f>
        <v/>
      </c>
      <c r="BH141">
        <f>IF(IF(COUNTIF(CA$131:CA$150,CA141)&gt;1,TRUE,FALSE),"T"&amp;CA141,CA141)</f>
        <v/>
      </c>
      <c r="BI141">
        <f>IF(IF(COUNTIF(CB$131:CB$150,CB141)&gt;1,TRUE,FALSE),"T"&amp;CB141,CB141)</f>
        <v/>
      </c>
      <c r="BL141" s="2">
        <f>O141/E141</f>
        <v/>
      </c>
      <c r="BM141" s="2">
        <f>P141/E141</f>
        <v/>
      </c>
      <c r="BN141" s="2">
        <f>_xlfn.XLOOKUP(AZ141,$AL$1:$AL$100,$G$1:$G$100,,0)/_xlfn.XLOOKUP(AZ141,$AL$1:$AL$100,$C$1:$C$100,,0)</f>
        <v/>
      </c>
      <c r="BT141">
        <f>RANK(I141,I$131:I$150)</f>
        <v/>
      </c>
      <c r="BU141">
        <f>RANK(BN141,BN$131:BN$150)</f>
        <v/>
      </c>
      <c r="BV141">
        <f>RANK(L141,L$131:L$150)</f>
        <v/>
      </c>
      <c r="BW141">
        <f>RANK(M141,M$131:M$150)</f>
        <v/>
      </c>
      <c r="BX141">
        <f>RANK(X141,X$131:X$150)</f>
        <v/>
      </c>
      <c r="BY141">
        <f>RANK(J141,J$131:J$150)</f>
        <v/>
      </c>
      <c r="BZ141">
        <f>RANK(O141,O$131:O$150,1)</f>
        <v/>
      </c>
      <c r="CA141" s="2">
        <f>RANK(BL141,BL$131:BL$150,1)</f>
        <v/>
      </c>
      <c r="CB141" s="2">
        <f>RANK(BM141,BM$131:BM$150,1)</f>
        <v/>
      </c>
    </row>
    <row r="142">
      <c r="A142" s="3" t="inlineStr">
        <is>
          <t>vs Wolves</t>
        </is>
      </c>
      <c r="B142" s="13" t="n">
        <v>4</v>
      </c>
      <c r="C142" s="13" t="n">
        <v>38</v>
      </c>
      <c r="D142" s="13" t="n">
        <v>38</v>
      </c>
      <c r="E142" s="38" t="n">
        <v>3420</v>
      </c>
      <c r="F142" s="13" t="n">
        <v>38</v>
      </c>
      <c r="G142" s="13" t="n">
        <v>54</v>
      </c>
      <c r="H142" s="13" t="n">
        <v>1.42</v>
      </c>
      <c r="I142" s="13" t="n">
        <v>155</v>
      </c>
      <c r="J142" s="13" t="n">
        <v>102</v>
      </c>
      <c r="K142" s="13" t="n">
        <v>65.2</v>
      </c>
      <c r="L142" s="13" t="n">
        <v>20</v>
      </c>
      <c r="M142" s="13" t="n">
        <v>6</v>
      </c>
      <c r="N142" s="13" t="n">
        <v>12</v>
      </c>
      <c r="O142" s="13" t="n">
        <v>7</v>
      </c>
      <c r="P142" s="13" t="n">
        <v>18.4</v>
      </c>
      <c r="Q142" s="13" t="n">
        <v>0</v>
      </c>
      <c r="R142" s="13" t="n">
        <v>0</v>
      </c>
      <c r="S142" s="13" t="n">
        <v>0</v>
      </c>
      <c r="T142" s="13" t="n">
        <v>0</v>
      </c>
      <c r="U142" s="13" t="n"/>
      <c r="AZ142">
        <f>VLOOKUP(A142,Helpers!$F$4:$G$32,2,0)</f>
        <v/>
      </c>
      <c r="BA142">
        <f>IF(IF(COUNTIF(BT$131:BT$150,BT142)&gt;1,TRUE,FALSE),"T"&amp;BT142,BT142)</f>
        <v/>
      </c>
      <c r="BB142">
        <f>IF(IF(COUNTIF(BU$131:BU$150,BU142)&gt;1,TRUE,FALSE),"T"&amp;BU142,BU142)</f>
        <v/>
      </c>
      <c r="BC142">
        <f>IF(IF(COUNTIF(BV$131:BV$150,BV142)&gt;1,TRUE,FALSE),"T"&amp;BV142,BV142)</f>
        <v/>
      </c>
      <c r="BD142">
        <f>IF(IF(COUNTIF(BW$131:BW$150,BW142)&gt;1,TRUE,FALSE),"T"&amp;BW142,BW142)</f>
        <v/>
      </c>
      <c r="BE142">
        <f>IF(IF(COUNTIF(BX$131:BX$150,BX142)&gt;1,TRUE,FALSE),"T"&amp;BX142,BX142)</f>
        <v/>
      </c>
      <c r="BF142">
        <f>IF(IF(COUNTIF(BY$131:BY$150,BY142)&gt;1,TRUE,FALSE),"T"&amp;BY142,BY142)</f>
        <v/>
      </c>
      <c r="BG142">
        <f>IF(IF(COUNTIF(BZ$131:BZ$150,BZ142)&gt;1,TRUE,FALSE),"T"&amp;BZ142,BZ142)</f>
        <v/>
      </c>
      <c r="BH142">
        <f>IF(IF(COUNTIF(CA$131:CA$150,CA142)&gt;1,TRUE,FALSE),"T"&amp;CA142,CA142)</f>
        <v/>
      </c>
      <c r="BI142">
        <f>IF(IF(COUNTIF(CB$131:CB$150,CB142)&gt;1,TRUE,FALSE),"T"&amp;CB142,CB142)</f>
        <v/>
      </c>
      <c r="BL142" s="2">
        <f>O142/E142</f>
        <v/>
      </c>
      <c r="BM142" s="2">
        <f>P142/E142</f>
        <v/>
      </c>
      <c r="BN142" s="2">
        <f>_xlfn.XLOOKUP(AZ142,$AL$1:$AL$100,$G$1:$G$100,,0)/_xlfn.XLOOKUP(AZ142,$AL$1:$AL$100,$C$1:$C$100,,0)</f>
        <v/>
      </c>
      <c r="BT142">
        <f>RANK(I142,I$131:I$150)</f>
        <v/>
      </c>
      <c r="BU142">
        <f>RANK(BN142,BN$131:BN$150)</f>
        <v/>
      </c>
      <c r="BV142">
        <f>RANK(L142,L$131:L$150)</f>
        <v/>
      </c>
      <c r="BW142">
        <f>RANK(M142,M$131:M$150)</f>
        <v/>
      </c>
      <c r="BX142">
        <f>RANK(X142,X$131:X$150)</f>
        <v/>
      </c>
      <c r="BY142">
        <f>RANK(J142,J$131:J$150)</f>
        <v/>
      </c>
      <c r="BZ142">
        <f>RANK(O142,O$131:O$150,1)</f>
        <v/>
      </c>
      <c r="CA142" s="2">
        <f>RANK(BL142,BL$131:BL$150,1)</f>
        <v/>
      </c>
      <c r="CB142" s="2">
        <f>RANK(BM142,BM$131:BM$150,1)</f>
        <v/>
      </c>
    </row>
    <row r="143">
      <c r="AZ143">
        <f>VLOOKUP(A143,Helpers!$F$4:$G$32,2,0)</f>
        <v/>
      </c>
      <c r="BA143">
        <f>IF(IF(COUNTIF(BT$131:BT$150,BT143)&gt;1,TRUE,FALSE),"T"&amp;BT143,BT143)</f>
        <v/>
      </c>
      <c r="BB143">
        <f>IF(IF(COUNTIF(BU$131:BU$150,BU143)&gt;1,TRUE,FALSE),"T"&amp;BU143,BU143)</f>
        <v/>
      </c>
      <c r="BC143">
        <f>IF(IF(COUNTIF(BV$131:BV$150,BV143)&gt;1,TRUE,FALSE),"T"&amp;BV143,BV143)</f>
        <v/>
      </c>
      <c r="BD143">
        <f>IF(IF(COUNTIF(BW$131:BW$150,BW143)&gt;1,TRUE,FALSE),"T"&amp;BW143,BW143)</f>
        <v/>
      </c>
      <c r="BE143">
        <f>IF(IF(COUNTIF(BX$131:BX$150,BX143)&gt;1,TRUE,FALSE),"T"&amp;BX143,BX143)</f>
        <v/>
      </c>
      <c r="BF143">
        <f>IF(IF(COUNTIF(BY$131:BY$150,BY143)&gt;1,TRUE,FALSE),"T"&amp;BY143,BY143)</f>
        <v/>
      </c>
      <c r="BG143">
        <f>IF(IF(COUNTIF(BZ$131:BZ$150,BZ143)&gt;1,TRUE,FALSE),"T"&amp;BZ143,BZ143)</f>
        <v/>
      </c>
      <c r="BH143">
        <f>IF(IF(COUNTIF(CA$131:CA$150,CA143)&gt;1,TRUE,FALSE),"T"&amp;CA143,CA143)</f>
        <v/>
      </c>
      <c r="BI143">
        <f>IF(IF(COUNTIF(CB$131:CB$150,CB143)&gt;1,TRUE,FALSE),"T"&amp;CB143,CB143)</f>
        <v/>
      </c>
      <c r="BL143" s="2">
        <f>O143/E143</f>
        <v/>
      </c>
      <c r="BM143" s="2">
        <f>P143/E143</f>
        <v/>
      </c>
      <c r="BN143" s="2">
        <f>_xlfn.XLOOKUP(AZ143,$AL$1:$AL$100,$G$1:$G$100,,0)/_xlfn.XLOOKUP(AZ143,$AL$1:$AL$100,$C$1:$C$100,,0)</f>
        <v/>
      </c>
      <c r="BT143">
        <f>RANK(I143,I$131:I$150)</f>
        <v/>
      </c>
      <c r="BU143">
        <f>RANK(BN143,BN$131:BN$150)</f>
        <v/>
      </c>
      <c r="BV143">
        <f>RANK(L143,L$131:L$150)</f>
        <v/>
      </c>
      <c r="BW143">
        <f>RANK(M143,M$131:M$150)</f>
        <v/>
      </c>
      <c r="BX143">
        <f>RANK(X143,X$131:X$150)</f>
        <v/>
      </c>
      <c r="BY143">
        <f>RANK(J143,J$131:J$150)</f>
        <v/>
      </c>
      <c r="BZ143">
        <f>RANK(O143,O$131:O$150,1)</f>
        <v/>
      </c>
      <c r="CA143" s="2">
        <f>RANK(BL143,BL$131:BL$150,1)</f>
        <v/>
      </c>
      <c r="CB143" s="2">
        <f>RANK(BM143,BM$131:BM$150,1)</f>
        <v/>
      </c>
    </row>
    <row r="144">
      <c r="A144" s="45" t="inlineStr">
        <is>
          <t>Squad Advanced Goalkeeping 2024-2025 Premier League Table</t>
        </is>
      </c>
      <c r="AZ144">
        <f>VLOOKUP(A144,Helpers!$F$4:$G$32,2,0)</f>
        <v/>
      </c>
      <c r="BA144">
        <f>IF(IF(COUNTIF(BT$131:BT$150,BT144)&gt;1,TRUE,FALSE),"T"&amp;BT144,BT144)</f>
        <v/>
      </c>
      <c r="BB144">
        <f>IF(IF(COUNTIF(BU$131:BU$150,BU144)&gt;1,TRUE,FALSE),"T"&amp;BU144,BU144)</f>
        <v/>
      </c>
      <c r="BC144">
        <f>IF(IF(COUNTIF(BV$131:BV$150,BV144)&gt;1,TRUE,FALSE),"T"&amp;BV144,BV144)</f>
        <v/>
      </c>
      <c r="BD144">
        <f>IF(IF(COUNTIF(BW$131:BW$150,BW144)&gt;1,TRUE,FALSE),"T"&amp;BW144,BW144)</f>
        <v/>
      </c>
      <c r="BE144">
        <f>IF(IF(COUNTIF(BX$131:BX$150,BX144)&gt;1,TRUE,FALSE),"T"&amp;BX144,BX144)</f>
        <v/>
      </c>
      <c r="BF144">
        <f>IF(IF(COUNTIF(BY$131:BY$150,BY144)&gt;1,TRUE,FALSE),"T"&amp;BY144,BY144)</f>
        <v/>
      </c>
      <c r="BG144">
        <f>IF(IF(COUNTIF(BZ$131:BZ$150,BZ144)&gt;1,TRUE,FALSE),"T"&amp;BZ144,BZ144)</f>
        <v/>
      </c>
      <c r="BH144">
        <f>IF(IF(COUNTIF(CA$131:CA$150,CA144)&gt;1,TRUE,FALSE),"T"&amp;CA144,CA144)</f>
        <v/>
      </c>
      <c r="BI144">
        <f>IF(IF(COUNTIF(CB$131:CB$150,CB144)&gt;1,TRUE,FALSE),"T"&amp;CB144,CB144)</f>
        <v/>
      </c>
      <c r="BL144" s="2">
        <f>O144/E144</f>
        <v/>
      </c>
      <c r="BM144" s="2">
        <f>P144/E144</f>
        <v/>
      </c>
      <c r="BN144" s="2">
        <f>_xlfn.XLOOKUP(AZ144,$AL$1:$AL$100,$G$1:$G$100,,0)/_xlfn.XLOOKUP(AZ144,$AL$1:$AL$100,$C$1:$C$100,,0)</f>
        <v/>
      </c>
      <c r="BT144">
        <f>RANK(I144,I$131:I$150)</f>
        <v/>
      </c>
      <c r="BU144">
        <f>RANK(BN144,BN$131:BN$150)</f>
        <v/>
      </c>
      <c r="BV144">
        <f>RANK(L144,L$131:L$150)</f>
        <v/>
      </c>
      <c r="BW144">
        <f>RANK(M144,M$131:M$150)</f>
        <v/>
      </c>
      <c r="BX144">
        <f>RANK(X144,X$131:X$150)</f>
        <v/>
      </c>
      <c r="BY144">
        <f>RANK(J144,J$131:J$150)</f>
        <v/>
      </c>
      <c r="BZ144">
        <f>RANK(O144,O$131:O$150,1)</f>
        <v/>
      </c>
      <c r="CA144" s="2">
        <f>RANK(BL144,BL$131:BL$150,1)</f>
        <v/>
      </c>
      <c r="CB144" s="2">
        <f>RANK(BM144,BM$131:BM$150,1)</f>
        <v/>
      </c>
    </row>
    <row r="145" ht="17.1" customHeight="1" s="43">
      <c r="A145" s="44" t="n"/>
      <c r="D145" s="44" t="inlineStr">
        <is>
          <t>Goals</t>
        </is>
      </c>
      <c r="I145" s="44" t="inlineStr">
        <is>
          <t>Expected</t>
        </is>
      </c>
      <c r="M145" s="44" t="inlineStr">
        <is>
          <t>Launched</t>
        </is>
      </c>
      <c r="P145" s="44" t="inlineStr">
        <is>
          <t>Passes</t>
        </is>
      </c>
      <c r="T145" s="44" t="inlineStr">
        <is>
          <t>Goal Kicks</t>
        </is>
      </c>
      <c r="W145" s="44" t="inlineStr">
        <is>
          <t>Crosses</t>
        </is>
      </c>
      <c r="Z145" s="44" t="inlineStr">
        <is>
          <t>Sweeper</t>
        </is>
      </c>
      <c r="AZ145">
        <f>VLOOKUP(A145,Helpers!$F$4:$G$32,2,0)</f>
        <v/>
      </c>
      <c r="BA145">
        <f>IF(IF(COUNTIF(BT$131:BT$150,BT145)&gt;1,TRUE,FALSE),"T"&amp;BT145,BT145)</f>
        <v/>
      </c>
      <c r="BB145">
        <f>IF(IF(COUNTIF(BU$131:BU$150,BU145)&gt;1,TRUE,FALSE),"T"&amp;BU145,BU145)</f>
        <v/>
      </c>
      <c r="BC145">
        <f>IF(IF(COUNTIF(BV$131:BV$150,BV145)&gt;1,TRUE,FALSE),"T"&amp;BV145,BV145)</f>
        <v/>
      </c>
      <c r="BD145">
        <f>IF(IF(COUNTIF(BW$131:BW$150,BW145)&gt;1,TRUE,FALSE),"T"&amp;BW145,BW145)</f>
        <v/>
      </c>
      <c r="BE145">
        <f>IF(IF(COUNTIF(BX$131:BX$150,BX145)&gt;1,TRUE,FALSE),"T"&amp;BX145,BX145)</f>
        <v/>
      </c>
      <c r="BF145">
        <f>IF(IF(COUNTIF(BY$131:BY$150,BY145)&gt;1,TRUE,FALSE),"T"&amp;BY145,BY145)</f>
        <v/>
      </c>
      <c r="BG145">
        <f>IF(IF(COUNTIF(BZ$131:BZ$150,BZ145)&gt;1,TRUE,FALSE),"T"&amp;BZ145,BZ145)</f>
        <v/>
      </c>
      <c r="BH145">
        <f>IF(IF(COUNTIF(CA$131:CA$150,CA145)&gt;1,TRUE,FALSE),"T"&amp;CA145,CA145)</f>
        <v/>
      </c>
      <c r="BI145">
        <f>IF(IF(COUNTIF(CB$131:CB$150,CB145)&gt;1,TRUE,FALSE),"T"&amp;CB145,CB145)</f>
        <v/>
      </c>
      <c r="BL145" s="2">
        <f>O145/E145</f>
        <v/>
      </c>
      <c r="BM145" s="2">
        <f>P145/E145</f>
        <v/>
      </c>
      <c r="BN145" s="2">
        <f>_xlfn.XLOOKUP(AZ145,$AL$1:$AL$100,$G$1:$G$100,,0)/_xlfn.XLOOKUP(AZ145,$AL$1:$AL$100,$C$1:$C$100,,0)</f>
        <v/>
      </c>
      <c r="BT145">
        <f>RANK(I145,I$131:I$150)</f>
        <v/>
      </c>
      <c r="BU145">
        <f>RANK(BN145,BN$131:BN$150)</f>
        <v/>
      </c>
      <c r="BV145">
        <f>RANK(L145,L$131:L$150)</f>
        <v/>
      </c>
      <c r="BW145">
        <f>RANK(M145,M$131:M$150)</f>
        <v/>
      </c>
      <c r="BX145">
        <f>RANK(X145,X$131:X$150)</f>
        <v/>
      </c>
      <c r="BY145">
        <f>RANK(J145,J$131:J$150)</f>
        <v/>
      </c>
      <c r="BZ145">
        <f>RANK(O145,O$131:O$150,1)</f>
        <v/>
      </c>
      <c r="CA145" s="2">
        <f>RANK(BL145,BL$131:BL$150,1)</f>
        <v/>
      </c>
      <c r="CB145" s="2">
        <f>RANK(BM145,BM$131:BM$150,1)</f>
        <v/>
      </c>
    </row>
    <row r="146">
      <c r="A146" s="44" t="inlineStr">
        <is>
          <t>Squad</t>
        </is>
      </c>
      <c r="B146" s="44" t="inlineStr">
        <is>
          <t># Pl</t>
        </is>
      </c>
      <c r="C146" s="44" t="inlineStr">
        <is>
          <t>90s</t>
        </is>
      </c>
      <c r="D146" s="44" t="inlineStr">
        <is>
          <t>GA</t>
        </is>
      </c>
      <c r="E146" s="44" t="inlineStr">
        <is>
          <t>PKA</t>
        </is>
      </c>
      <c r="F146" s="44" t="inlineStr">
        <is>
          <t>FK</t>
        </is>
      </c>
      <c r="G146" s="44" t="inlineStr">
        <is>
          <t>CK</t>
        </is>
      </c>
      <c r="H146" s="44" t="inlineStr">
        <is>
          <t>OG</t>
        </is>
      </c>
      <c r="I146" s="44" t="inlineStr">
        <is>
          <t>PSxG</t>
        </is>
      </c>
      <c r="J146" s="44" t="inlineStr">
        <is>
          <t>PSxG/SoT</t>
        </is>
      </c>
      <c r="K146" s="44" t="inlineStr">
        <is>
          <t>PSxG+/-</t>
        </is>
      </c>
      <c r="L146" s="44" t="inlineStr">
        <is>
          <t>/90</t>
        </is>
      </c>
      <c r="M146" s="44" t="inlineStr">
        <is>
          <t>Cmp</t>
        </is>
      </c>
      <c r="N146" s="44" t="inlineStr">
        <is>
          <t>Att</t>
        </is>
      </c>
      <c r="O146" s="44" t="inlineStr">
        <is>
          <t>Cmp%</t>
        </is>
      </c>
      <c r="P146" s="44" t="inlineStr">
        <is>
          <t>Att (GK)</t>
        </is>
      </c>
      <c r="Q146" s="44" t="inlineStr">
        <is>
          <t>Thr</t>
        </is>
      </c>
      <c r="R146" s="44" t="inlineStr">
        <is>
          <t>Launch%</t>
        </is>
      </c>
      <c r="S146" s="44" t="inlineStr">
        <is>
          <t>AvgLen</t>
        </is>
      </c>
      <c r="T146" s="44" t="inlineStr">
        <is>
          <t>Att</t>
        </is>
      </c>
      <c r="U146" s="44" t="inlineStr">
        <is>
          <t>Launch%</t>
        </is>
      </c>
      <c r="V146" s="44" t="inlineStr">
        <is>
          <t>AvgLen</t>
        </is>
      </c>
      <c r="W146" s="44" t="inlineStr">
        <is>
          <t>Opp</t>
        </is>
      </c>
      <c r="X146" s="44" t="inlineStr">
        <is>
          <t>Stp</t>
        </is>
      </c>
      <c r="Y146" s="44" t="inlineStr">
        <is>
          <t>Stp%</t>
        </is>
      </c>
      <c r="Z146" s="44" t="inlineStr">
        <is>
          <t>#OPA</t>
        </is>
      </c>
      <c r="AA146" s="44" t="inlineStr">
        <is>
          <t>#OPA/90</t>
        </is>
      </c>
      <c r="AB146" s="44" t="inlineStr">
        <is>
          <t>AvgDist</t>
        </is>
      </c>
      <c r="AZ146">
        <f>VLOOKUP(A146,Helpers!$F$4:$G$32,2,0)</f>
        <v/>
      </c>
      <c r="BA146">
        <f>IF(IF(COUNTIF(BT$131:BT$150,BT146)&gt;1,TRUE,FALSE),"T"&amp;BT146,BT146)</f>
        <v/>
      </c>
      <c r="BB146">
        <f>IF(IF(COUNTIF(BU$131:BU$150,BU146)&gt;1,TRUE,FALSE),"T"&amp;BU146,BU146)</f>
        <v/>
      </c>
      <c r="BC146">
        <f>IF(IF(COUNTIF(BV$131:BV$150,BV146)&gt;1,TRUE,FALSE),"T"&amp;BV146,BV146)</f>
        <v/>
      </c>
      <c r="BD146">
        <f>IF(IF(COUNTIF(BW$131:BW$150,BW146)&gt;1,TRUE,FALSE),"T"&amp;BW146,BW146)</f>
        <v/>
      </c>
      <c r="BE146">
        <f>IF(IF(COUNTIF(BX$131:BX$150,BX146)&gt;1,TRUE,FALSE),"T"&amp;BX146,BX146)</f>
        <v/>
      </c>
      <c r="BF146">
        <f>IF(IF(COUNTIF(BY$131:BY$150,BY146)&gt;1,TRUE,FALSE),"T"&amp;BY146,BY146)</f>
        <v/>
      </c>
      <c r="BG146">
        <f>IF(IF(COUNTIF(BZ$131:BZ$150,BZ146)&gt;1,TRUE,FALSE),"T"&amp;BZ146,BZ146)</f>
        <v/>
      </c>
      <c r="BH146">
        <f>IF(IF(COUNTIF(CA$131:CA$150,CA146)&gt;1,TRUE,FALSE),"T"&amp;CA146,CA146)</f>
        <v/>
      </c>
      <c r="BI146">
        <f>IF(IF(COUNTIF(CB$131:CB$150,CB146)&gt;1,TRUE,FALSE),"T"&amp;CB146,CB146)</f>
        <v/>
      </c>
      <c r="BL146" s="2">
        <f>O146/E146</f>
        <v/>
      </c>
      <c r="BM146" s="2">
        <f>P146/E146</f>
        <v/>
      </c>
      <c r="BN146" s="2">
        <f>_xlfn.XLOOKUP(AZ146,$AL$1:$AL$100,$G$1:$G$100,,0)/_xlfn.XLOOKUP(AZ146,$AL$1:$AL$100,$C$1:$C$100,,0)</f>
        <v/>
      </c>
      <c r="BT146">
        <f>RANK(I146,I$131:I$150)</f>
        <v/>
      </c>
      <c r="BU146">
        <f>RANK(BN146,BN$131:BN$150)</f>
        <v/>
      </c>
      <c r="BV146">
        <f>RANK(L146,L$131:L$150)</f>
        <v/>
      </c>
      <c r="BW146">
        <f>RANK(M146,M$131:M$150)</f>
        <v/>
      </c>
      <c r="BX146">
        <f>RANK(X146,X$131:X$150)</f>
        <v/>
      </c>
      <c r="BY146">
        <f>RANK(J146,J$131:J$150)</f>
        <v/>
      </c>
      <c r="BZ146">
        <f>RANK(O146,O$131:O$150,1)</f>
        <v/>
      </c>
      <c r="CA146" s="2">
        <f>RANK(BL146,BL$131:BL$150,1)</f>
        <v/>
      </c>
      <c r="CB146" s="2">
        <f>RANK(BM146,BM$131:BM$150,1)</f>
        <v/>
      </c>
    </row>
    <row r="147" ht="17.1" customHeight="1" s="43">
      <c r="A147" s="3" t="inlineStr">
        <is>
          <t>Arsenal</t>
        </is>
      </c>
      <c r="B147" s="13" t="n">
        <v>1</v>
      </c>
      <c r="C147" s="13" t="n">
        <v>38</v>
      </c>
      <c r="D147" s="13" t="n">
        <v>34</v>
      </c>
      <c r="E147" s="13" t="n">
        <v>3</v>
      </c>
      <c r="F147" s="13" t="n">
        <v>2</v>
      </c>
      <c r="G147" s="13" t="n">
        <v>8</v>
      </c>
      <c r="H147" s="13" t="n">
        <v>0</v>
      </c>
      <c r="I147" s="13" t="n">
        <v>35.1</v>
      </c>
      <c r="J147" s="13" t="n">
        <v>0.28</v>
      </c>
      <c r="K147" s="13" t="n">
        <v>1.1</v>
      </c>
      <c r="L147" s="13" t="n">
        <v>0.03</v>
      </c>
      <c r="M147" s="13" t="n">
        <v>149</v>
      </c>
      <c r="N147" s="13" t="n">
        <v>478</v>
      </c>
      <c r="O147" s="13" t="n">
        <v>31.2</v>
      </c>
      <c r="P147" s="13" t="n">
        <v>1210</v>
      </c>
      <c r="Q147" s="13" t="n">
        <v>178</v>
      </c>
      <c r="R147" s="13" t="n">
        <v>31.2</v>
      </c>
      <c r="S147" s="13" t="n">
        <v>29.9</v>
      </c>
      <c r="T147" s="13" t="n">
        <v>200</v>
      </c>
      <c r="U147" s="13" t="n">
        <v>50</v>
      </c>
      <c r="V147" s="13" t="n">
        <v>38.6</v>
      </c>
      <c r="W147" s="13" t="n">
        <v>402</v>
      </c>
      <c r="X147" s="13" t="n">
        <v>53</v>
      </c>
      <c r="Y147" s="13" t="n">
        <v>13.2</v>
      </c>
      <c r="Z147" s="13" t="n">
        <v>66</v>
      </c>
      <c r="AA147" s="13" t="n">
        <v>1.74</v>
      </c>
      <c r="AB147" s="13" t="n">
        <v>17.2</v>
      </c>
      <c r="AZ147">
        <f>VLOOKUP(A147,Helpers!$F$4:$G$32,2,0)</f>
        <v/>
      </c>
      <c r="BA147">
        <f>IF(IF(COUNTIF(BT$131:BT$150,BT147)&gt;1,TRUE,FALSE),"T"&amp;BT147,BT147)</f>
        <v/>
      </c>
      <c r="BB147">
        <f>IF(IF(COUNTIF(BU$131:BU$150,BU147)&gt;1,TRUE,FALSE),"T"&amp;BU147,BU147)</f>
        <v/>
      </c>
      <c r="BC147">
        <f>IF(IF(COUNTIF(BV$131:BV$150,BV147)&gt;1,TRUE,FALSE),"T"&amp;BV147,BV147)</f>
        <v/>
      </c>
      <c r="BD147">
        <f>IF(IF(COUNTIF(BW$131:BW$150,BW147)&gt;1,TRUE,FALSE),"T"&amp;BW147,BW147)</f>
        <v/>
      </c>
      <c r="BE147">
        <f>IF(IF(COUNTIF(BX$131:BX$150,BX147)&gt;1,TRUE,FALSE),"T"&amp;BX147,BX147)</f>
        <v/>
      </c>
      <c r="BF147">
        <f>IF(IF(COUNTIF(BY$131:BY$150,BY147)&gt;1,TRUE,FALSE),"T"&amp;BY147,BY147)</f>
        <v/>
      </c>
      <c r="BG147">
        <f>IF(IF(COUNTIF(BZ$131:BZ$150,BZ147)&gt;1,TRUE,FALSE),"T"&amp;BZ147,BZ147)</f>
        <v/>
      </c>
      <c r="BH147">
        <f>IF(IF(COUNTIF(CA$131:CA$150,CA147)&gt;1,TRUE,FALSE),"T"&amp;CA147,CA147)</f>
        <v/>
      </c>
      <c r="BI147">
        <f>IF(IF(COUNTIF(CB$131:CB$150,CB147)&gt;1,TRUE,FALSE),"T"&amp;CB147,CB147)</f>
        <v/>
      </c>
      <c r="BL147" s="2">
        <f>O147/E147</f>
        <v/>
      </c>
      <c r="BM147" s="2">
        <f>P147/E147</f>
        <v/>
      </c>
      <c r="BN147" s="2">
        <f>_xlfn.XLOOKUP(AZ147,$AL$1:$AL$100,$G$1:$G$100,,0)/_xlfn.XLOOKUP(AZ147,$AL$1:$AL$100,$C$1:$C$100,,0)</f>
        <v/>
      </c>
      <c r="BT147">
        <f>RANK(I147,I$131:I$150)</f>
        <v/>
      </c>
      <c r="BU147">
        <f>RANK(BN147,BN$131:BN$150)</f>
        <v/>
      </c>
      <c r="BV147">
        <f>RANK(L147,L$131:L$150)</f>
        <v/>
      </c>
      <c r="BW147">
        <f>RANK(M147,M$131:M$150)</f>
        <v/>
      </c>
      <c r="BX147">
        <f>RANK(X147,X$131:X$150)</f>
        <v/>
      </c>
      <c r="BY147">
        <f>RANK(J147,J$131:J$150)</f>
        <v/>
      </c>
      <c r="BZ147">
        <f>RANK(O147,O$131:O$150,1)</f>
        <v/>
      </c>
      <c r="CA147" s="2">
        <f>RANK(BL147,BL$131:BL$150,1)</f>
        <v/>
      </c>
      <c r="CB147" s="2">
        <f>RANK(BM147,BM$131:BM$150,1)</f>
        <v/>
      </c>
    </row>
    <row r="148">
      <c r="A148" s="3" t="inlineStr">
        <is>
          <t>Aston Villa</t>
        </is>
      </c>
      <c r="B148" s="13" t="n">
        <v>2</v>
      </c>
      <c r="C148" s="13" t="n">
        <v>38</v>
      </c>
      <c r="D148" s="13" t="n">
        <v>51</v>
      </c>
      <c r="E148" s="13" t="n">
        <v>2</v>
      </c>
      <c r="F148" s="13" t="n">
        <v>1</v>
      </c>
      <c r="G148" s="13" t="n">
        <v>2</v>
      </c>
      <c r="H148" s="13" t="n">
        <v>0</v>
      </c>
      <c r="I148" s="13" t="n">
        <v>52.1</v>
      </c>
      <c r="J148" s="13" t="n">
        <v>0.32</v>
      </c>
      <c r="K148" s="13" t="n">
        <v>1.1</v>
      </c>
      <c r="L148" s="13" t="n">
        <v>0.03</v>
      </c>
      <c r="M148" s="13" t="n">
        <v>181</v>
      </c>
      <c r="N148" s="13" t="n">
        <v>474</v>
      </c>
      <c r="O148" s="13" t="n">
        <v>38.2</v>
      </c>
      <c r="P148" s="13" t="n">
        <v>1182</v>
      </c>
      <c r="Q148" s="13" t="n">
        <v>133</v>
      </c>
      <c r="R148" s="13" t="n">
        <v>29.5</v>
      </c>
      <c r="S148" s="13" t="n">
        <v>30.4</v>
      </c>
      <c r="T148" s="13" t="n">
        <v>299</v>
      </c>
      <c r="U148" s="13" t="n">
        <v>41.8</v>
      </c>
      <c r="V148" s="13" t="n">
        <v>35.1</v>
      </c>
      <c r="W148" s="13" t="n">
        <v>538</v>
      </c>
      <c r="X148" s="13" t="n">
        <v>59</v>
      </c>
      <c r="Y148" s="13" t="n">
        <v>11</v>
      </c>
      <c r="Z148" s="13" t="n">
        <v>35</v>
      </c>
      <c r="AA148" s="13" t="n">
        <v>0.92</v>
      </c>
      <c r="AB148" s="13" t="n">
        <v>13.7</v>
      </c>
      <c r="AZ148">
        <f>VLOOKUP(A148,Helpers!$F$4:$G$32,2,0)</f>
        <v/>
      </c>
      <c r="BA148">
        <f>IF(IF(COUNTIF(BT$131:BT$150,BT148)&gt;1,TRUE,FALSE),"T"&amp;BT148,BT148)</f>
        <v/>
      </c>
      <c r="BB148">
        <f>IF(IF(COUNTIF(BU$131:BU$150,BU148)&gt;1,TRUE,FALSE),"T"&amp;BU148,BU148)</f>
        <v/>
      </c>
      <c r="BC148">
        <f>IF(IF(COUNTIF(BV$131:BV$150,BV148)&gt;1,TRUE,FALSE),"T"&amp;BV148,BV148)</f>
        <v/>
      </c>
      <c r="BD148">
        <f>IF(IF(COUNTIF(BW$131:BW$150,BW148)&gt;1,TRUE,FALSE),"T"&amp;BW148,BW148)</f>
        <v/>
      </c>
      <c r="BE148">
        <f>IF(IF(COUNTIF(BX$131:BX$150,BX148)&gt;1,TRUE,FALSE),"T"&amp;BX148,BX148)</f>
        <v/>
      </c>
      <c r="BF148">
        <f>IF(IF(COUNTIF(BY$131:BY$150,BY148)&gt;1,TRUE,FALSE),"T"&amp;BY148,BY148)</f>
        <v/>
      </c>
      <c r="BG148">
        <f>IF(IF(COUNTIF(BZ$131:BZ$150,BZ148)&gt;1,TRUE,FALSE),"T"&amp;BZ148,BZ148)</f>
        <v/>
      </c>
      <c r="BH148">
        <f>IF(IF(COUNTIF(CA$131:CA$150,CA148)&gt;1,TRUE,FALSE),"T"&amp;CA148,CA148)</f>
        <v/>
      </c>
      <c r="BI148">
        <f>IF(IF(COUNTIF(CB$131:CB$150,CB148)&gt;1,TRUE,FALSE),"T"&amp;CB148,CB148)</f>
        <v/>
      </c>
      <c r="BL148" s="2">
        <f>O148/E148</f>
        <v/>
      </c>
      <c r="BM148" s="2">
        <f>P148/E148</f>
        <v/>
      </c>
      <c r="BN148" s="2">
        <f>_xlfn.XLOOKUP(AZ148,$AL$1:$AL$100,$G$1:$G$100,,0)/_xlfn.XLOOKUP(AZ148,$AL$1:$AL$100,$C$1:$C$100,,0)</f>
        <v/>
      </c>
      <c r="BT148">
        <f>RANK(I148,I$131:I$150)</f>
        <v/>
      </c>
      <c r="BU148">
        <f>RANK(BN148,BN$131:BN$150)</f>
        <v/>
      </c>
      <c r="BV148">
        <f>RANK(L148,L$131:L$150)</f>
        <v/>
      </c>
      <c r="BW148">
        <f>RANK(M148,M$131:M$150)</f>
        <v/>
      </c>
      <c r="BX148">
        <f>RANK(X148,X$131:X$150)</f>
        <v/>
      </c>
      <c r="BY148">
        <f>RANK(J148,J$131:J$150)</f>
        <v/>
      </c>
      <c r="BZ148">
        <f>RANK(O148,O$131:O$150,1)</f>
        <v/>
      </c>
      <c r="CA148" s="2">
        <f>RANK(BL148,BL$131:BL$150,1)</f>
        <v/>
      </c>
      <c r="CB148" s="2">
        <f>RANK(BM148,BM$131:BM$150,1)</f>
        <v/>
      </c>
    </row>
    <row r="149" ht="15.75" customHeight="1" s="43">
      <c r="A149" s="3" t="inlineStr">
        <is>
          <t>Bournemouth</t>
        </is>
      </c>
      <c r="B149" s="13" t="n">
        <v>3</v>
      </c>
      <c r="C149" s="13" t="n">
        <v>38</v>
      </c>
      <c r="D149" s="13" t="n">
        <v>46</v>
      </c>
      <c r="E149" s="13" t="n">
        <v>4</v>
      </c>
      <c r="F149" s="13" t="n">
        <v>1</v>
      </c>
      <c r="G149" s="13" t="n">
        <v>5</v>
      </c>
      <c r="H149" s="13" t="n">
        <v>0</v>
      </c>
      <c r="I149" s="13" t="n">
        <v>54.8</v>
      </c>
      <c r="J149" s="13" t="n">
        <v>0.3</v>
      </c>
      <c r="K149" s="13" t="n">
        <v>8.800000000000001</v>
      </c>
      <c r="L149" s="13" t="n">
        <v>0.23</v>
      </c>
      <c r="M149" s="13" t="n">
        <v>174</v>
      </c>
      <c r="N149" s="13" t="n">
        <v>465</v>
      </c>
      <c r="O149" s="13" t="n">
        <v>37.4</v>
      </c>
      <c r="P149" s="13" t="n">
        <v>960</v>
      </c>
      <c r="Q149" s="13" t="n">
        <v>158</v>
      </c>
      <c r="R149" s="13" t="n">
        <v>35.2</v>
      </c>
      <c r="S149" s="13" t="n">
        <v>32.9</v>
      </c>
      <c r="T149" s="13" t="n">
        <v>266</v>
      </c>
      <c r="U149" s="13" t="n">
        <v>47.7</v>
      </c>
      <c r="V149" s="13" t="n">
        <v>39.4</v>
      </c>
      <c r="W149" s="13" t="n">
        <v>460</v>
      </c>
      <c r="X149" s="13" t="n">
        <v>25</v>
      </c>
      <c r="Y149" s="13" t="n">
        <v>5.4</v>
      </c>
      <c r="Z149" s="13" t="n">
        <v>62</v>
      </c>
      <c r="AA149" s="13" t="n">
        <v>1.63</v>
      </c>
      <c r="AB149" s="13" t="n">
        <v>16</v>
      </c>
      <c r="AZ149">
        <f>VLOOKUP(A149,Helpers!$F$4:$G$32,2,0)</f>
        <v/>
      </c>
      <c r="BA149">
        <f>IF(IF(COUNTIF(BT$131:BT$150,BT149)&gt;1,TRUE,FALSE),"T"&amp;BT149,BT149)</f>
        <v/>
      </c>
      <c r="BB149">
        <f>IF(IF(COUNTIF(BU$131:BU$150,BU149)&gt;1,TRUE,FALSE),"T"&amp;BU149,BU149)</f>
        <v/>
      </c>
      <c r="BC149">
        <f>IF(IF(COUNTIF(BV$131:BV$150,BV149)&gt;1,TRUE,FALSE),"T"&amp;BV149,BV149)</f>
        <v/>
      </c>
      <c r="BD149">
        <f>IF(IF(COUNTIF(BW$131:BW$150,BW149)&gt;1,TRUE,FALSE),"T"&amp;BW149,BW149)</f>
        <v/>
      </c>
      <c r="BE149">
        <f>IF(IF(COUNTIF(BX$131:BX$150,BX149)&gt;1,TRUE,FALSE),"T"&amp;BX149,BX149)</f>
        <v/>
      </c>
      <c r="BF149">
        <f>IF(IF(COUNTIF(BY$131:BY$150,BY149)&gt;1,TRUE,FALSE),"T"&amp;BY149,BY149)</f>
        <v/>
      </c>
      <c r="BG149">
        <f>IF(IF(COUNTIF(BZ$131:BZ$150,BZ149)&gt;1,TRUE,FALSE),"T"&amp;BZ149,BZ149)</f>
        <v/>
      </c>
      <c r="BH149">
        <f>IF(IF(COUNTIF(CA$131:CA$150,CA149)&gt;1,TRUE,FALSE),"T"&amp;CA149,CA149)</f>
        <v/>
      </c>
      <c r="BI149">
        <f>IF(IF(COUNTIF(CB$131:CB$150,CB149)&gt;1,TRUE,FALSE),"T"&amp;CB149,CB149)</f>
        <v/>
      </c>
      <c r="BL149" s="2">
        <f>O149/E149</f>
        <v/>
      </c>
      <c r="BM149" s="2">
        <f>P149/E149</f>
        <v/>
      </c>
      <c r="BN149" s="2">
        <f>_xlfn.XLOOKUP(AZ149,$AL$1:$AL$100,$G$1:$G$100,,0)/_xlfn.XLOOKUP(AZ149,$AL$1:$AL$100,$C$1:$C$100,,0)</f>
        <v/>
      </c>
      <c r="BT149">
        <f>RANK(I149,I$131:I$150)</f>
        <v/>
      </c>
      <c r="BU149">
        <f>RANK(BN149,BN$131:BN$150)</f>
        <v/>
      </c>
      <c r="BV149">
        <f>RANK(L149,L$131:L$150)</f>
        <v/>
      </c>
      <c r="BW149">
        <f>RANK(M149,M$131:M$150)</f>
        <v/>
      </c>
      <c r="BX149">
        <f>RANK(X149,X$131:X$150)</f>
        <v/>
      </c>
      <c r="BY149">
        <f>RANK(J149,J$131:J$150)</f>
        <v/>
      </c>
      <c r="BZ149">
        <f>RANK(O149,O$131:O$150,1)</f>
        <v/>
      </c>
      <c r="CA149" s="2">
        <f>RANK(BL149,BL$131:BL$150,1)</f>
        <v/>
      </c>
      <c r="CB149" s="2">
        <f>RANK(BM149,BM$131:BM$150,1)</f>
        <v/>
      </c>
    </row>
    <row r="150">
      <c r="A150" s="3" t="inlineStr">
        <is>
          <t>Brentford</t>
        </is>
      </c>
      <c r="B150" s="13" t="n">
        <v>2</v>
      </c>
      <c r="C150" s="13" t="n">
        <v>38</v>
      </c>
      <c r="D150" s="13" t="n">
        <v>57</v>
      </c>
      <c r="E150" s="13" t="n">
        <v>1</v>
      </c>
      <c r="F150" s="13" t="n">
        <v>0</v>
      </c>
      <c r="G150" s="13" t="n">
        <v>2</v>
      </c>
      <c r="H150" s="13" t="n">
        <v>3</v>
      </c>
      <c r="I150" s="13" t="n">
        <v>53.3</v>
      </c>
      <c r="J150" s="13" t="n">
        <v>0.26</v>
      </c>
      <c r="K150" s="13" t="n">
        <v>-0.7</v>
      </c>
      <c r="L150" s="13" t="n">
        <v>-0.02</v>
      </c>
      <c r="M150" s="13" t="n">
        <v>264</v>
      </c>
      <c r="N150" s="13" t="n">
        <v>697</v>
      </c>
      <c r="O150" s="13" t="n">
        <v>37.9</v>
      </c>
      <c r="P150" s="13" t="n">
        <v>1453</v>
      </c>
      <c r="Q150" s="13" t="n">
        <v>129</v>
      </c>
      <c r="R150" s="13" t="n">
        <v>36.3</v>
      </c>
      <c r="S150" s="13" t="n">
        <v>34.4</v>
      </c>
      <c r="T150" s="13" t="n">
        <v>327</v>
      </c>
      <c r="U150" s="13" t="n">
        <v>51.7</v>
      </c>
      <c r="V150" s="13" t="n">
        <v>41.3</v>
      </c>
      <c r="W150" s="13" t="n">
        <v>597</v>
      </c>
      <c r="X150" s="13" t="n">
        <v>48</v>
      </c>
      <c r="Y150" s="13" t="n">
        <v>8</v>
      </c>
      <c r="Z150" s="13" t="n">
        <v>34</v>
      </c>
      <c r="AA150" s="13" t="n">
        <v>0.89</v>
      </c>
      <c r="AB150" s="13" t="n">
        <v>11.5</v>
      </c>
      <c r="AZ150">
        <f>VLOOKUP(A150,Helpers!$F$4:$G$32,2,0)</f>
        <v/>
      </c>
      <c r="BA150">
        <f>IF(IF(COUNTIF(BT$131:BT$150,BT150)&gt;1,TRUE,FALSE),"T"&amp;BT150,BT150)</f>
        <v/>
      </c>
      <c r="BB150">
        <f>IF(IF(COUNTIF(BU$131:BU$150,BU150)&gt;1,TRUE,FALSE),"T"&amp;BU150,BU150)</f>
        <v/>
      </c>
      <c r="BC150">
        <f>IF(IF(COUNTIF(BV$131:BV$150,BV150)&gt;1,TRUE,FALSE),"T"&amp;BV150,BV150)</f>
        <v/>
      </c>
      <c r="BD150">
        <f>IF(IF(COUNTIF(BW$131:BW$150,BW150)&gt;1,TRUE,FALSE),"T"&amp;BW150,BW150)</f>
        <v/>
      </c>
      <c r="BE150">
        <f>IF(IF(COUNTIF(BX$131:BX$150,BX150)&gt;1,TRUE,FALSE),"T"&amp;BX150,BX150)</f>
        <v/>
      </c>
      <c r="BF150">
        <f>IF(IF(COUNTIF(BY$131:BY$150,BY150)&gt;1,TRUE,FALSE),"T"&amp;BY150,BY150)</f>
        <v/>
      </c>
      <c r="BG150">
        <f>IF(IF(COUNTIF(BZ$131:BZ$150,BZ150)&gt;1,TRUE,FALSE),"T"&amp;BZ150,BZ150)</f>
        <v/>
      </c>
      <c r="BH150">
        <f>IF(IF(COUNTIF(CA$131:CA$150,CA150)&gt;1,TRUE,FALSE),"T"&amp;CA150,CA150)</f>
        <v/>
      </c>
      <c r="BI150">
        <f>IF(IF(COUNTIF(CB$131:CB$150,CB150)&gt;1,TRUE,FALSE),"T"&amp;CB150,CB150)</f>
        <v/>
      </c>
      <c r="BL150" s="2">
        <f>O150/E150</f>
        <v/>
      </c>
      <c r="BM150" s="2">
        <f>P150/E150</f>
        <v/>
      </c>
      <c r="BN150" s="2">
        <f>_xlfn.XLOOKUP(AZ150,$AL$1:$AL$100,$G$1:$G$100,,0)/_xlfn.XLOOKUP(AZ150,$AL$1:$AL$100,$C$1:$C$100,,0)</f>
        <v/>
      </c>
      <c r="BT150">
        <f>RANK(I150,I$131:I$150)</f>
        <v/>
      </c>
      <c r="BU150">
        <f>RANK(BN150,BN$131:BN$150)</f>
        <v/>
      </c>
      <c r="BV150">
        <f>RANK(L150,L$131:L$150)</f>
        <v/>
      </c>
      <c r="BW150">
        <f>RANK(M150,M$131:M$150)</f>
        <v/>
      </c>
      <c r="BX150">
        <f>RANK(X150,X$131:X$150)</f>
        <v/>
      </c>
      <c r="BY150">
        <f>RANK(J150,J$131:J$150)</f>
        <v/>
      </c>
      <c r="BZ150">
        <f>RANK(O150,O$131:O$150,1)</f>
        <v/>
      </c>
      <c r="CA150" s="2">
        <f>RANK(BL150,BL$131:BL$150,1)</f>
        <v/>
      </c>
      <c r="CB150" s="2">
        <f>RANK(BM150,BM$131:BM$150,1)</f>
        <v/>
      </c>
    </row>
    <row r="151" ht="17.1" customHeight="1" s="43">
      <c r="A151" s="3" t="inlineStr">
        <is>
          <t>Brighton</t>
        </is>
      </c>
      <c r="B151" s="13" t="n">
        <v>2</v>
      </c>
      <c r="C151" s="13" t="n">
        <v>38</v>
      </c>
      <c r="D151" s="13" t="n">
        <v>59</v>
      </c>
      <c r="E151" s="13" t="n">
        <v>9</v>
      </c>
      <c r="F151" s="13" t="n">
        <v>1</v>
      </c>
      <c r="G151" s="13" t="n">
        <v>4</v>
      </c>
      <c r="H151" s="13" t="n">
        <v>2</v>
      </c>
      <c r="I151" s="13" t="n">
        <v>51.5</v>
      </c>
      <c r="J151" s="13" t="n">
        <v>0.3</v>
      </c>
      <c r="K151" s="13" t="n">
        <v>-5.5</v>
      </c>
      <c r="L151" s="13" t="n">
        <v>-0.15</v>
      </c>
      <c r="M151" s="13" t="n">
        <v>129</v>
      </c>
      <c r="N151" s="13" t="n">
        <v>402</v>
      </c>
      <c r="O151" s="13" t="n">
        <v>32.1</v>
      </c>
      <c r="P151" s="13" t="n">
        <v>1178</v>
      </c>
      <c r="Q151" s="13" t="n">
        <v>129</v>
      </c>
      <c r="R151" s="13" t="n">
        <v>29.3</v>
      </c>
      <c r="S151" s="13" t="n">
        <v>25.1</v>
      </c>
      <c r="T151" s="13" t="n">
        <v>243</v>
      </c>
      <c r="U151" s="13" t="n">
        <v>23.5</v>
      </c>
      <c r="V151" s="13" t="n">
        <v>23.1</v>
      </c>
      <c r="W151" s="13" t="n">
        <v>436</v>
      </c>
      <c r="X151" s="13" t="n">
        <v>29</v>
      </c>
      <c r="Y151" s="13" t="n">
        <v>6.7</v>
      </c>
      <c r="Z151" s="13" t="n">
        <v>50</v>
      </c>
      <c r="AA151" s="13" t="n">
        <v>1.32</v>
      </c>
      <c r="AB151" s="13" t="n">
        <v>15.4</v>
      </c>
    </row>
    <row r="152">
      <c r="A152" s="3" t="inlineStr">
        <is>
          <t>Chelsea</t>
        </is>
      </c>
      <c r="B152" s="13" t="n">
        <v>2</v>
      </c>
      <c r="C152" s="13" t="n">
        <v>38</v>
      </c>
      <c r="D152" s="13" t="n">
        <v>43</v>
      </c>
      <c r="E152" s="13" t="n">
        <v>5</v>
      </c>
      <c r="F152" s="13" t="n">
        <v>0</v>
      </c>
      <c r="G152" s="13" t="n">
        <v>5</v>
      </c>
      <c r="H152" s="13" t="n">
        <v>0</v>
      </c>
      <c r="I152" s="13" t="n">
        <v>45</v>
      </c>
      <c r="J152" s="13" t="n">
        <v>0.26</v>
      </c>
      <c r="K152" s="13" t="n">
        <v>2</v>
      </c>
      <c r="L152" s="13" t="n">
        <v>0.05</v>
      </c>
      <c r="M152" s="13" t="n">
        <v>105</v>
      </c>
      <c r="N152" s="13" t="n">
        <v>457</v>
      </c>
      <c r="O152" s="13" t="n">
        <v>23</v>
      </c>
      <c r="P152" s="13" t="n">
        <v>1207</v>
      </c>
      <c r="Q152" s="13" t="n">
        <v>209</v>
      </c>
      <c r="R152" s="13" t="n">
        <v>34.5</v>
      </c>
      <c r="S152" s="13" t="n">
        <v>33.4</v>
      </c>
      <c r="T152" s="13" t="n">
        <v>224</v>
      </c>
      <c r="U152" s="13" t="n">
        <v>17.9</v>
      </c>
      <c r="V152" s="13" t="n">
        <v>20.9</v>
      </c>
      <c r="W152" s="13" t="n">
        <v>423</v>
      </c>
      <c r="X152" s="13" t="n">
        <v>49</v>
      </c>
      <c r="Y152" s="13" t="n">
        <v>11.6</v>
      </c>
      <c r="Z152" s="13" t="n">
        <v>59</v>
      </c>
      <c r="AA152" s="13" t="n">
        <v>1.55</v>
      </c>
      <c r="AB152" s="13" t="n">
        <v>14.5</v>
      </c>
    </row>
    <row r="153" ht="17.1" customHeight="1" s="43">
      <c r="A153" s="3" t="inlineStr">
        <is>
          <t>Crystal Palace</t>
        </is>
      </c>
      <c r="B153" s="13" t="n">
        <v>1</v>
      </c>
      <c r="C153" s="13" t="n">
        <v>38</v>
      </c>
      <c r="D153" s="13" t="n">
        <v>51</v>
      </c>
      <c r="E153" s="13" t="n">
        <v>1</v>
      </c>
      <c r="F153" s="13" t="n">
        <v>1</v>
      </c>
      <c r="G153" s="13" t="n">
        <v>5</v>
      </c>
      <c r="H153" s="13" t="n">
        <v>3</v>
      </c>
      <c r="I153" s="13" t="n">
        <v>51.2</v>
      </c>
      <c r="J153" s="13" t="n">
        <v>0.35</v>
      </c>
      <c r="K153" s="13" t="n">
        <v>3.2</v>
      </c>
      <c r="L153" s="13" t="n">
        <v>0.08</v>
      </c>
      <c r="M153" s="13" t="n">
        <v>157</v>
      </c>
      <c r="N153" s="13" t="n">
        <v>600</v>
      </c>
      <c r="O153" s="13" t="n">
        <v>26.2</v>
      </c>
      <c r="P153" s="13" t="n">
        <v>922</v>
      </c>
      <c r="Q153" s="13" t="n">
        <v>115</v>
      </c>
      <c r="R153" s="13" t="n">
        <v>48.5</v>
      </c>
      <c r="S153" s="13" t="n">
        <v>38.5</v>
      </c>
      <c r="T153" s="13" t="n">
        <v>293</v>
      </c>
      <c r="U153" s="13" t="n">
        <v>52.2</v>
      </c>
      <c r="V153" s="13" t="n">
        <v>42.4</v>
      </c>
      <c r="W153" s="13" t="n">
        <v>559</v>
      </c>
      <c r="X153" s="13" t="n">
        <v>30</v>
      </c>
      <c r="Y153" s="13" t="n">
        <v>5.4</v>
      </c>
      <c r="Z153" s="13" t="n">
        <v>40</v>
      </c>
      <c r="AA153" s="13" t="n">
        <v>1.05</v>
      </c>
      <c r="AB153" s="13" t="n">
        <v>14.3</v>
      </c>
    </row>
    <row r="154">
      <c r="A154" s="3" t="inlineStr">
        <is>
          <t>Everton</t>
        </is>
      </c>
      <c r="B154" s="13" t="n">
        <v>1</v>
      </c>
      <c r="C154" s="13" t="n">
        <v>38</v>
      </c>
      <c r="D154" s="13" t="n">
        <v>44</v>
      </c>
      <c r="E154" s="13" t="n">
        <v>0</v>
      </c>
      <c r="F154" s="13" t="n">
        <v>1</v>
      </c>
      <c r="G154" s="13" t="n">
        <v>6</v>
      </c>
      <c r="H154" s="13" t="n">
        <v>0</v>
      </c>
      <c r="I154" s="13" t="n">
        <v>48.8</v>
      </c>
      <c r="J154" s="13" t="n">
        <v>0.3</v>
      </c>
      <c r="K154" s="13" t="n">
        <v>4.8</v>
      </c>
      <c r="L154" s="13" t="n">
        <v>0.13</v>
      </c>
      <c r="M154" s="13" t="n">
        <v>304</v>
      </c>
      <c r="N154" s="13" t="n">
        <v>806</v>
      </c>
      <c r="O154" s="13" t="n">
        <v>37.7</v>
      </c>
      <c r="P154" s="13" t="n">
        <v>1297</v>
      </c>
      <c r="Q154" s="13" t="n">
        <v>161</v>
      </c>
      <c r="R154" s="13" t="n">
        <v>51</v>
      </c>
      <c r="S154" s="13" t="n">
        <v>39.7</v>
      </c>
      <c r="T154" s="13" t="n">
        <v>289</v>
      </c>
      <c r="U154" s="13" t="n">
        <v>50.2</v>
      </c>
      <c r="V154" s="13" t="n">
        <v>40.7</v>
      </c>
      <c r="W154" s="13" t="n">
        <v>558</v>
      </c>
      <c r="X154" s="13" t="n">
        <v>31</v>
      </c>
      <c r="Y154" s="13" t="n">
        <v>5.6</v>
      </c>
      <c r="Z154" s="13" t="n">
        <v>57</v>
      </c>
      <c r="AA154" s="13" t="n">
        <v>1.5</v>
      </c>
      <c r="AB154" s="13" t="n">
        <v>15.2</v>
      </c>
    </row>
    <row r="155" ht="18" customHeight="1" s="43">
      <c r="A155" s="3" t="inlineStr">
        <is>
          <t>Fulham</t>
        </is>
      </c>
      <c r="B155" s="13" t="n">
        <v>1</v>
      </c>
      <c r="C155" s="13" t="n">
        <v>38</v>
      </c>
      <c r="D155" s="13" t="n">
        <v>54</v>
      </c>
      <c r="E155" s="13" t="n">
        <v>3</v>
      </c>
      <c r="F155" s="13" t="n">
        <v>0</v>
      </c>
      <c r="G155" s="13" t="n">
        <v>6</v>
      </c>
      <c r="H155" s="13" t="n">
        <v>2</v>
      </c>
      <c r="I155" s="13" t="n">
        <v>48.9</v>
      </c>
      <c r="J155" s="13" t="n">
        <v>0.29</v>
      </c>
      <c r="K155" s="13" t="n">
        <v>-3.1</v>
      </c>
      <c r="L155" s="13" t="n">
        <v>-0.08</v>
      </c>
      <c r="M155" s="13" t="n">
        <v>141</v>
      </c>
      <c r="N155" s="13" t="n">
        <v>367</v>
      </c>
      <c r="O155" s="13" t="n">
        <v>38.4</v>
      </c>
      <c r="P155" s="13" t="n">
        <v>1138</v>
      </c>
      <c r="Q155" s="13" t="n">
        <v>167</v>
      </c>
      <c r="R155" s="13" t="n">
        <v>24.5</v>
      </c>
      <c r="S155" s="13" t="n">
        <v>28.9</v>
      </c>
      <c r="T155" s="13" t="n">
        <v>265</v>
      </c>
      <c r="U155" s="13" t="n">
        <v>33.2</v>
      </c>
      <c r="V155" s="13" t="n">
        <v>30.2</v>
      </c>
      <c r="W155" s="13" t="n">
        <v>507</v>
      </c>
      <c r="X155" s="13" t="n">
        <v>23</v>
      </c>
      <c r="Y155" s="13" t="n">
        <v>4.5</v>
      </c>
      <c r="Z155" s="13" t="n">
        <v>33</v>
      </c>
      <c r="AA155" s="13" t="n">
        <v>0.87</v>
      </c>
      <c r="AB155" s="13" t="n">
        <v>13.3</v>
      </c>
    </row>
    <row r="156" ht="17.1" customHeight="1" s="43">
      <c r="A156" s="3" t="inlineStr">
        <is>
          <t>Ipswich Town</t>
        </is>
      </c>
      <c r="B156" s="13" t="n">
        <v>3</v>
      </c>
      <c r="C156" s="13" t="n">
        <v>38</v>
      </c>
      <c r="D156" s="13" t="n">
        <v>82</v>
      </c>
      <c r="E156" s="13" t="n">
        <v>6</v>
      </c>
      <c r="F156" s="13" t="n">
        <v>0</v>
      </c>
      <c r="G156" s="13" t="n">
        <v>11</v>
      </c>
      <c r="H156" s="13" t="n">
        <v>2</v>
      </c>
      <c r="I156" s="13" t="n">
        <v>73.59999999999999</v>
      </c>
      <c r="J156" s="13" t="n">
        <v>0.33</v>
      </c>
      <c r="K156" s="13" t="n">
        <v>-6.4</v>
      </c>
      <c r="L156" s="13" t="n">
        <v>-0.17</v>
      </c>
      <c r="M156" s="13" t="n">
        <v>189</v>
      </c>
      <c r="N156" s="13" t="n">
        <v>531</v>
      </c>
      <c r="O156" s="13" t="n">
        <v>35.6</v>
      </c>
      <c r="P156" s="13" t="n">
        <v>1000</v>
      </c>
      <c r="Q156" s="13" t="n">
        <v>184</v>
      </c>
      <c r="R156" s="13" t="n">
        <v>36.6</v>
      </c>
      <c r="S156" s="13" t="n">
        <v>34.3</v>
      </c>
      <c r="T156" s="13" t="n">
        <v>306</v>
      </c>
      <c r="U156" s="13" t="n">
        <v>53.9</v>
      </c>
      <c r="V156" s="13" t="n">
        <v>41.4</v>
      </c>
      <c r="W156" s="13" t="n">
        <v>609</v>
      </c>
      <c r="X156" s="13" t="n">
        <v>71</v>
      </c>
      <c r="Y156" s="13" t="n">
        <v>11.7</v>
      </c>
      <c r="Z156" s="13" t="n">
        <v>35</v>
      </c>
      <c r="AA156" s="13" t="n">
        <v>0.92</v>
      </c>
      <c r="AB156" s="13" t="n">
        <v>8.199999999999999</v>
      </c>
    </row>
    <row r="157" ht="15.95" customHeight="1" s="43">
      <c r="A157" s="3" t="inlineStr">
        <is>
          <t>Leicester City</t>
        </is>
      </c>
      <c r="B157" s="13" t="n">
        <v>3</v>
      </c>
      <c r="C157" s="13" t="n">
        <v>38</v>
      </c>
      <c r="D157" s="13" t="n">
        <v>80</v>
      </c>
      <c r="E157" s="13" t="n">
        <v>3</v>
      </c>
      <c r="F157" s="13" t="n">
        <v>0</v>
      </c>
      <c r="G157" s="13" t="n">
        <v>5</v>
      </c>
      <c r="H157" s="13" t="n">
        <v>3</v>
      </c>
      <c r="I157" s="13" t="n">
        <v>74.59999999999999</v>
      </c>
      <c r="J157" s="13" t="n">
        <v>0.35</v>
      </c>
      <c r="K157" s="13" t="n">
        <v>-2.4</v>
      </c>
      <c r="L157" s="13" t="n">
        <v>-0.06</v>
      </c>
      <c r="M157" s="13" t="n">
        <v>181</v>
      </c>
      <c r="N157" s="13" t="n">
        <v>688</v>
      </c>
      <c r="O157" s="13" t="n">
        <v>26.3</v>
      </c>
      <c r="P157" s="13" t="n">
        <v>1183</v>
      </c>
      <c r="Q157" s="13" t="n">
        <v>178</v>
      </c>
      <c r="R157" s="13" t="n">
        <v>44.9</v>
      </c>
      <c r="S157" s="13" t="n">
        <v>32</v>
      </c>
      <c r="T157" s="13" t="n">
        <v>325</v>
      </c>
      <c r="U157" s="13" t="n">
        <v>48.3</v>
      </c>
      <c r="V157" s="13" t="n">
        <v>36</v>
      </c>
      <c r="W157" s="13" t="n">
        <v>599</v>
      </c>
      <c r="X157" s="13" t="n">
        <v>36</v>
      </c>
      <c r="Y157" s="13" t="n">
        <v>6</v>
      </c>
      <c r="Z157" s="13" t="n">
        <v>36</v>
      </c>
      <c r="AA157" s="13" t="n">
        <v>0.95</v>
      </c>
      <c r="AB157" s="13" t="n">
        <v>20.7</v>
      </c>
    </row>
    <row r="158">
      <c r="A158" s="3" t="inlineStr">
        <is>
          <t>Liverpool</t>
        </is>
      </c>
      <c r="B158" s="13" t="n">
        <v>3</v>
      </c>
      <c r="C158" s="13" t="n">
        <v>38</v>
      </c>
      <c r="D158" s="13" t="n">
        <v>41</v>
      </c>
      <c r="E158" s="13" t="n">
        <v>1</v>
      </c>
      <c r="F158" s="13" t="n">
        <v>0</v>
      </c>
      <c r="G158" s="13" t="n">
        <v>3</v>
      </c>
      <c r="H158" s="13" t="n">
        <v>2</v>
      </c>
      <c r="I158" s="13" t="n">
        <v>42.2</v>
      </c>
      <c r="J158" s="13" t="n">
        <v>0.3</v>
      </c>
      <c r="K158" s="13" t="n">
        <v>3.2</v>
      </c>
      <c r="L158" s="13" t="n">
        <v>0.08</v>
      </c>
      <c r="M158" s="13" t="n">
        <v>102</v>
      </c>
      <c r="N158" s="13" t="n">
        <v>325</v>
      </c>
      <c r="O158" s="13" t="n">
        <v>31.4</v>
      </c>
      <c r="P158" s="13" t="n">
        <v>1108</v>
      </c>
      <c r="Q158" s="13" t="n">
        <v>179</v>
      </c>
      <c r="R158" s="13" t="n">
        <v>24.6</v>
      </c>
      <c r="S158" s="13" t="n">
        <v>26.6</v>
      </c>
      <c r="T158" s="13" t="n">
        <v>239</v>
      </c>
      <c r="U158" s="13" t="n">
        <v>21.8</v>
      </c>
      <c r="V158" s="13" t="n">
        <v>24.5</v>
      </c>
      <c r="W158" s="13" t="n">
        <v>370</v>
      </c>
      <c r="X158" s="13" t="n">
        <v>17</v>
      </c>
      <c r="Y158" s="13" t="n">
        <v>4.6</v>
      </c>
      <c r="Z158" s="13" t="n">
        <v>58</v>
      </c>
      <c r="AA158" s="13" t="n">
        <v>1.53</v>
      </c>
      <c r="AB158" s="13" t="n">
        <v>16</v>
      </c>
    </row>
    <row r="159" ht="17.1" customHeight="1" s="43">
      <c r="A159" s="3" t="inlineStr">
        <is>
          <t>Manchester City</t>
        </is>
      </c>
      <c r="B159" s="13" t="n">
        <v>2</v>
      </c>
      <c r="C159" s="13" t="n">
        <v>38</v>
      </c>
      <c r="D159" s="13" t="n">
        <v>44</v>
      </c>
      <c r="E159" s="13" t="n">
        <v>4</v>
      </c>
      <c r="F159" s="13" t="n">
        <v>1</v>
      </c>
      <c r="G159" s="13" t="n">
        <v>4</v>
      </c>
      <c r="H159" s="13" t="n">
        <v>2</v>
      </c>
      <c r="I159" s="13" t="n">
        <v>46.3</v>
      </c>
      <c r="J159" s="13" t="n">
        <v>0.35</v>
      </c>
      <c r="K159" s="13" t="n">
        <v>4.3</v>
      </c>
      <c r="L159" s="13" t="n">
        <v>0.11</v>
      </c>
      <c r="M159" s="13" t="n">
        <v>112</v>
      </c>
      <c r="N159" s="13" t="n">
        <v>269</v>
      </c>
      <c r="O159" s="13" t="n">
        <v>41.6</v>
      </c>
      <c r="P159" s="13" t="n">
        <v>1191</v>
      </c>
      <c r="Q159" s="13" t="n">
        <v>163</v>
      </c>
      <c r="R159" s="13" t="n">
        <v>19.5</v>
      </c>
      <c r="S159" s="13" t="n">
        <v>26.7</v>
      </c>
      <c r="T159" s="13" t="n">
        <v>190</v>
      </c>
      <c r="U159" s="13" t="n">
        <v>19.5</v>
      </c>
      <c r="V159" s="13" t="n">
        <v>24</v>
      </c>
      <c r="W159" s="13" t="n">
        <v>357</v>
      </c>
      <c r="X159" s="13" t="n">
        <v>19</v>
      </c>
      <c r="Y159" s="13" t="n">
        <v>5.3</v>
      </c>
      <c r="Z159" s="13" t="n">
        <v>61</v>
      </c>
      <c r="AA159" s="13" t="n">
        <v>1.61</v>
      </c>
      <c r="AB159" s="13" t="n">
        <v>14.3</v>
      </c>
    </row>
    <row r="160">
      <c r="A160" s="3" t="inlineStr">
        <is>
          <t>Manchester Utd</t>
        </is>
      </c>
      <c r="B160" s="13" t="n">
        <v>2</v>
      </c>
      <c r="C160" s="13" t="n">
        <v>38</v>
      </c>
      <c r="D160" s="13" t="n">
        <v>54</v>
      </c>
      <c r="E160" s="13" t="n">
        <v>3</v>
      </c>
      <c r="F160" s="13" t="n">
        <v>1</v>
      </c>
      <c r="G160" s="13" t="n">
        <v>10</v>
      </c>
      <c r="H160" s="13" t="n">
        <v>2</v>
      </c>
      <c r="I160" s="13" t="n">
        <v>54.1</v>
      </c>
      <c r="J160" s="13" t="n">
        <v>0.34</v>
      </c>
      <c r="K160" s="13" t="n">
        <v>2.1</v>
      </c>
      <c r="L160" s="13" t="n">
        <v>0.05</v>
      </c>
      <c r="M160" s="13" t="n">
        <v>131</v>
      </c>
      <c r="N160" s="13" t="n">
        <v>502</v>
      </c>
      <c r="O160" s="13" t="n">
        <v>26.1</v>
      </c>
      <c r="P160" s="13" t="n">
        <v>1206</v>
      </c>
      <c r="Q160" s="13" t="n">
        <v>148</v>
      </c>
      <c r="R160" s="13" t="n">
        <v>32</v>
      </c>
      <c r="S160" s="13" t="n">
        <v>30.3</v>
      </c>
      <c r="T160" s="13" t="n">
        <v>247</v>
      </c>
      <c r="U160" s="13" t="n">
        <v>47</v>
      </c>
      <c r="V160" s="13" t="n">
        <v>36.4</v>
      </c>
      <c r="W160" s="13" t="n">
        <v>455</v>
      </c>
      <c r="X160" s="13" t="n">
        <v>26</v>
      </c>
      <c r="Y160" s="13" t="n">
        <v>5.7</v>
      </c>
      <c r="Z160" s="13" t="n">
        <v>30</v>
      </c>
      <c r="AA160" s="13" t="n">
        <v>0.79</v>
      </c>
      <c r="AB160" s="13" t="n">
        <v>11.8</v>
      </c>
    </row>
    <row r="161" ht="18" customHeight="1" s="43">
      <c r="A161" s="3" t="inlineStr">
        <is>
          <t>Newcastle Utd</t>
        </is>
      </c>
      <c r="B161" s="13" t="n">
        <v>2</v>
      </c>
      <c r="C161" s="13" t="n">
        <v>38</v>
      </c>
      <c r="D161" s="13" t="n">
        <v>47</v>
      </c>
      <c r="E161" s="13" t="n">
        <v>1</v>
      </c>
      <c r="F161" s="13" t="n">
        <v>0</v>
      </c>
      <c r="G161" s="13" t="n">
        <v>4</v>
      </c>
      <c r="H161" s="13" t="n">
        <v>2</v>
      </c>
      <c r="I161" s="13" t="n">
        <v>47.7</v>
      </c>
      <c r="J161" s="13" t="n">
        <v>0.29</v>
      </c>
      <c r="K161" s="13" t="n">
        <v>2.7</v>
      </c>
      <c r="L161" s="13" t="n">
        <v>0.07000000000000001</v>
      </c>
      <c r="M161" s="13" t="n">
        <v>90</v>
      </c>
      <c r="N161" s="13" t="n">
        <v>337</v>
      </c>
      <c r="O161" s="13" t="n">
        <v>26.7</v>
      </c>
      <c r="P161" s="13" t="n">
        <v>863</v>
      </c>
      <c r="Q161" s="13" t="n">
        <v>246</v>
      </c>
      <c r="R161" s="13" t="n">
        <v>22.7</v>
      </c>
      <c r="S161" s="13" t="n">
        <v>25.2</v>
      </c>
      <c r="T161" s="13" t="n">
        <v>251</v>
      </c>
      <c r="U161" s="13" t="n">
        <v>56.2</v>
      </c>
      <c r="V161" s="13" t="n">
        <v>43.6</v>
      </c>
      <c r="W161" s="13" t="n">
        <v>486</v>
      </c>
      <c r="X161" s="13" t="n">
        <v>49</v>
      </c>
      <c r="Y161" s="13" t="n">
        <v>10.1</v>
      </c>
      <c r="Z161" s="13" t="n">
        <v>75</v>
      </c>
      <c r="AA161" s="13" t="n">
        <v>1.97</v>
      </c>
      <c r="AB161" s="13" t="n">
        <v>15.3</v>
      </c>
    </row>
    <row r="162" ht="17.1" customHeight="1" s="43">
      <c r="A162" s="3" t="inlineStr">
        <is>
          <t>Nott'ham Forest</t>
        </is>
      </c>
      <c r="B162" s="13" t="n">
        <v>1</v>
      </c>
      <c r="C162" s="13" t="n">
        <v>38</v>
      </c>
      <c r="D162" s="13" t="n">
        <v>46</v>
      </c>
      <c r="E162" s="13" t="n">
        <v>3</v>
      </c>
      <c r="F162" s="13" t="n">
        <v>1</v>
      </c>
      <c r="G162" s="13" t="n">
        <v>5</v>
      </c>
      <c r="H162" s="13" t="n">
        <v>0</v>
      </c>
      <c r="I162" s="13" t="n">
        <v>49.1</v>
      </c>
      <c r="J162" s="13" t="n">
        <v>0.29</v>
      </c>
      <c r="K162" s="13" t="n">
        <v>3.1</v>
      </c>
      <c r="L162" s="13" t="n">
        <v>0.08</v>
      </c>
      <c r="M162" s="13" t="n">
        <v>244</v>
      </c>
      <c r="N162" s="13" t="n">
        <v>698</v>
      </c>
      <c r="O162" s="13" t="n">
        <v>35</v>
      </c>
      <c r="P162" s="13" t="n">
        <v>662</v>
      </c>
      <c r="Q162" s="13" t="n">
        <v>83</v>
      </c>
      <c r="R162" s="13" t="n">
        <v>73.7</v>
      </c>
      <c r="S162" s="13" t="n">
        <v>44.7</v>
      </c>
      <c r="T162" s="13" t="n">
        <v>323</v>
      </c>
      <c r="U162" s="13" t="n">
        <v>65</v>
      </c>
      <c r="V162" s="13" t="n">
        <v>47</v>
      </c>
      <c r="W162" s="13" t="n">
        <v>710</v>
      </c>
      <c r="X162" s="13" t="n">
        <v>19</v>
      </c>
      <c r="Y162" s="13" t="n">
        <v>2.7</v>
      </c>
      <c r="Z162" s="13" t="n">
        <v>12</v>
      </c>
      <c r="AA162" s="13" t="n">
        <v>0.32</v>
      </c>
      <c r="AB162" s="13" t="n">
        <v>8.699999999999999</v>
      </c>
    </row>
    <row r="163" ht="17.1" customHeight="1" s="43">
      <c r="A163" s="3" t="inlineStr">
        <is>
          <t>Southampton</t>
        </is>
      </c>
      <c r="B163" s="13" t="n">
        <v>3</v>
      </c>
      <c r="C163" s="13" t="n">
        <v>38</v>
      </c>
      <c r="D163" s="13" t="n">
        <v>86</v>
      </c>
      <c r="E163" s="13" t="n">
        <v>7</v>
      </c>
      <c r="F163" s="13" t="n">
        <v>0</v>
      </c>
      <c r="G163" s="13" t="n">
        <v>12</v>
      </c>
      <c r="H163" s="13" t="n">
        <v>0</v>
      </c>
      <c r="I163" s="13" t="n">
        <v>83.8</v>
      </c>
      <c r="J163" s="13" t="n">
        <v>0.32</v>
      </c>
      <c r="K163" s="13" t="n">
        <v>-2.2</v>
      </c>
      <c r="L163" s="13" t="n">
        <v>-0.06</v>
      </c>
      <c r="M163" s="13" t="n">
        <v>235</v>
      </c>
      <c r="N163" s="13" t="n">
        <v>707</v>
      </c>
      <c r="O163" s="13" t="n">
        <v>33.2</v>
      </c>
      <c r="P163" s="13" t="n">
        <v>1224</v>
      </c>
      <c r="Q163" s="13" t="n">
        <v>172</v>
      </c>
      <c r="R163" s="13" t="n">
        <v>44.7</v>
      </c>
      <c r="S163" s="13" t="n">
        <v>29.5</v>
      </c>
      <c r="T163" s="13" t="n">
        <v>297</v>
      </c>
      <c r="U163" s="13" t="n">
        <v>53.9</v>
      </c>
      <c r="V163" s="13" t="n">
        <v>41.9</v>
      </c>
      <c r="W163" s="13" t="n">
        <v>587</v>
      </c>
      <c r="X163" s="13" t="n">
        <v>35</v>
      </c>
      <c r="Y163" s="13" t="n">
        <v>6</v>
      </c>
      <c r="Z163" s="13" t="n">
        <v>27</v>
      </c>
      <c r="AA163" s="13" t="n">
        <v>0.71</v>
      </c>
      <c r="AB163" s="13" t="n">
        <v>6.5</v>
      </c>
    </row>
    <row r="164">
      <c r="A164" s="3" t="inlineStr">
        <is>
          <t>Tottenham</t>
        </is>
      </c>
      <c r="B164" s="13" t="n">
        <v>4</v>
      </c>
      <c r="C164" s="13" t="n">
        <v>38</v>
      </c>
      <c r="D164" s="13" t="n">
        <v>65</v>
      </c>
      <c r="E164" s="13" t="n">
        <v>3</v>
      </c>
      <c r="F164" s="13" t="n">
        <v>0</v>
      </c>
      <c r="G164" s="13" t="n">
        <v>8</v>
      </c>
      <c r="H164" s="13" t="n">
        <v>4</v>
      </c>
      <c r="I164" s="13" t="n">
        <v>66.59999999999999</v>
      </c>
      <c r="J164" s="13" t="n">
        <v>0.36</v>
      </c>
      <c r="K164" s="13" t="n">
        <v>5.6</v>
      </c>
      <c r="L164" s="13" t="n">
        <v>0.15</v>
      </c>
      <c r="M164" s="13" t="n">
        <v>59</v>
      </c>
      <c r="N164" s="13" t="n">
        <v>195</v>
      </c>
      <c r="O164" s="13" t="n">
        <v>30.3</v>
      </c>
      <c r="P164" s="13" t="n">
        <v>1047</v>
      </c>
      <c r="Q164" s="13" t="n">
        <v>192</v>
      </c>
      <c r="R164" s="13" t="n">
        <v>16.6</v>
      </c>
      <c r="S164" s="13" t="n">
        <v>27.2</v>
      </c>
      <c r="T164" s="13" t="n">
        <v>272</v>
      </c>
      <c r="U164" s="13" t="n">
        <v>7.7</v>
      </c>
      <c r="V164" s="13" t="n">
        <v>16.3</v>
      </c>
      <c r="W164" s="13" t="n">
        <v>520</v>
      </c>
      <c r="X164" s="13" t="n">
        <v>49</v>
      </c>
      <c r="Y164" s="13" t="n">
        <v>9.4</v>
      </c>
      <c r="Z164" s="13" t="n">
        <v>45</v>
      </c>
      <c r="AA164" s="13" t="n">
        <v>1.18</v>
      </c>
      <c r="AB164" s="13" t="n">
        <v>11.1</v>
      </c>
    </row>
    <row r="165" ht="17.1" customHeight="1" s="43">
      <c r="A165" s="3" t="inlineStr">
        <is>
          <t>West Ham</t>
        </is>
      </c>
      <c r="B165" s="13" t="n">
        <v>2</v>
      </c>
      <c r="C165" s="13" t="n">
        <v>38</v>
      </c>
      <c r="D165" s="13" t="n">
        <v>62</v>
      </c>
      <c r="E165" s="13" t="n">
        <v>3</v>
      </c>
      <c r="F165" s="13" t="n">
        <v>1</v>
      </c>
      <c r="G165" s="13" t="n">
        <v>8</v>
      </c>
      <c r="H165" s="13" t="n">
        <v>3</v>
      </c>
      <c r="I165" s="13" t="n">
        <v>57.9</v>
      </c>
      <c r="J165" s="13" t="n">
        <v>0.3</v>
      </c>
      <c r="K165" s="13" t="n">
        <v>-1.1</v>
      </c>
      <c r="L165" s="13" t="n">
        <v>-0.03</v>
      </c>
      <c r="M165" s="13" t="n">
        <v>212</v>
      </c>
      <c r="N165" s="13" t="n">
        <v>610</v>
      </c>
      <c r="O165" s="13" t="n">
        <v>34.8</v>
      </c>
      <c r="P165" s="13" t="n">
        <v>1167</v>
      </c>
      <c r="Q165" s="13" t="n">
        <v>174</v>
      </c>
      <c r="R165" s="13" t="n">
        <v>37.4</v>
      </c>
      <c r="S165" s="13" t="n">
        <v>35.5</v>
      </c>
      <c r="T165" s="13" t="n">
        <v>311</v>
      </c>
      <c r="U165" s="13" t="n">
        <v>55.9</v>
      </c>
      <c r="V165" s="13" t="n">
        <v>41.9</v>
      </c>
      <c r="W165" s="13" t="n">
        <v>614</v>
      </c>
      <c r="X165" s="13" t="n">
        <v>25</v>
      </c>
      <c r="Y165" s="13" t="n">
        <v>4.1</v>
      </c>
      <c r="Z165" s="13" t="n">
        <v>42</v>
      </c>
      <c r="AA165" s="13" t="n">
        <v>1.11</v>
      </c>
      <c r="AB165" s="13" t="n">
        <v>13.1</v>
      </c>
    </row>
    <row r="166">
      <c r="A166" s="3" t="inlineStr">
        <is>
          <t>Wolves</t>
        </is>
      </c>
      <c r="B166" s="13" t="n">
        <v>4</v>
      </c>
      <c r="C166" s="13" t="n">
        <v>38</v>
      </c>
      <c r="D166" s="13" t="n">
        <v>69</v>
      </c>
      <c r="E166" s="13" t="n">
        <v>7</v>
      </c>
      <c r="F166" s="13" t="n">
        <v>2</v>
      </c>
      <c r="G166" s="13" t="n">
        <v>11</v>
      </c>
      <c r="H166" s="13" t="n">
        <v>3</v>
      </c>
      <c r="I166" s="13" t="n">
        <v>59.7</v>
      </c>
      <c r="J166" s="13" t="n">
        <v>0.32</v>
      </c>
      <c r="K166" s="13" t="n">
        <v>-6.3</v>
      </c>
      <c r="L166" s="13" t="n">
        <v>-0.17</v>
      </c>
      <c r="M166" s="13" t="n">
        <v>153</v>
      </c>
      <c r="N166" s="13" t="n">
        <v>532</v>
      </c>
      <c r="O166" s="13" t="n">
        <v>28.8</v>
      </c>
      <c r="P166" s="13" t="n">
        <v>1020</v>
      </c>
      <c r="Q166" s="13" t="n">
        <v>156</v>
      </c>
      <c r="R166" s="13" t="n">
        <v>41.5</v>
      </c>
      <c r="S166" s="13" t="n">
        <v>14</v>
      </c>
      <c r="T166" s="13" t="n">
        <v>244</v>
      </c>
      <c r="U166" s="13" t="n">
        <v>44.7</v>
      </c>
      <c r="V166" s="13" t="n">
        <v>37</v>
      </c>
      <c r="W166" s="13" t="n">
        <v>562</v>
      </c>
      <c r="X166" s="13" t="n">
        <v>40</v>
      </c>
      <c r="Y166" s="13" t="n">
        <v>7.1</v>
      </c>
      <c r="Z166" s="13" t="n">
        <v>57</v>
      </c>
      <c r="AA166" s="13" t="n">
        <v>1.5</v>
      </c>
      <c r="AB166" s="13" t="n"/>
    </row>
    <row r="168">
      <c r="A168" s="45" t="inlineStr">
        <is>
          <t>Squad Advanced Goalkeeping 2024-2025 Premier League Table</t>
        </is>
      </c>
    </row>
    <row r="169" ht="17.1" customHeight="1" s="43">
      <c r="A169" s="44" t="n"/>
      <c r="D169" s="44" t="inlineStr">
        <is>
          <t>Goals</t>
        </is>
      </c>
      <c r="I169" s="44" t="inlineStr">
        <is>
          <t>Expected</t>
        </is>
      </c>
      <c r="M169" s="44" t="inlineStr">
        <is>
          <t>Launched</t>
        </is>
      </c>
      <c r="P169" s="44" t="inlineStr">
        <is>
          <t>Passes</t>
        </is>
      </c>
      <c r="T169" s="44" t="inlineStr">
        <is>
          <t>Goal Kicks</t>
        </is>
      </c>
      <c r="W169" s="44" t="inlineStr">
        <is>
          <t>Crosses</t>
        </is>
      </c>
      <c r="Z169" s="44" t="inlineStr">
        <is>
          <t>Sweeper</t>
        </is>
      </c>
    </row>
    <row r="170">
      <c r="A170" s="44" t="inlineStr">
        <is>
          <t>Squad</t>
        </is>
      </c>
      <c r="B170" s="44" t="inlineStr">
        <is>
          <t># Pl</t>
        </is>
      </c>
      <c r="C170" s="44" t="inlineStr">
        <is>
          <t>90s</t>
        </is>
      </c>
      <c r="D170" s="44" t="inlineStr">
        <is>
          <t>GA</t>
        </is>
      </c>
      <c r="E170" s="44" t="inlineStr">
        <is>
          <t>PKA</t>
        </is>
      </c>
      <c r="F170" s="44" t="inlineStr">
        <is>
          <t>FK</t>
        </is>
      </c>
      <c r="G170" s="44" t="inlineStr">
        <is>
          <t>CK</t>
        </is>
      </c>
      <c r="H170" s="44" t="inlineStr">
        <is>
          <t>OG</t>
        </is>
      </c>
      <c r="I170" s="44" t="inlineStr">
        <is>
          <t>PSxG</t>
        </is>
      </c>
      <c r="J170" s="44" t="inlineStr">
        <is>
          <t>PSxG/SoT</t>
        </is>
      </c>
      <c r="K170" s="44" t="inlineStr">
        <is>
          <t>PSxG+/-</t>
        </is>
      </c>
      <c r="L170" s="44" t="inlineStr">
        <is>
          <t>/90</t>
        </is>
      </c>
      <c r="M170" s="44" t="inlineStr">
        <is>
          <t>Cmp</t>
        </is>
      </c>
      <c r="N170" s="44" t="inlineStr">
        <is>
          <t>Att</t>
        </is>
      </c>
      <c r="O170" s="44" t="inlineStr">
        <is>
          <t>Cmp%</t>
        </is>
      </c>
      <c r="P170" s="44" t="inlineStr">
        <is>
          <t>Att (GK)</t>
        </is>
      </c>
      <c r="Q170" s="44" t="inlineStr">
        <is>
          <t>Thr</t>
        </is>
      </c>
      <c r="R170" s="44" t="inlineStr">
        <is>
          <t>Launch%</t>
        </is>
      </c>
      <c r="S170" s="44" t="inlineStr">
        <is>
          <t>AvgLen</t>
        </is>
      </c>
      <c r="T170" s="44" t="inlineStr">
        <is>
          <t>Att</t>
        </is>
      </c>
      <c r="U170" s="44" t="inlineStr">
        <is>
          <t>Launch%</t>
        </is>
      </c>
      <c r="V170" s="44" t="inlineStr">
        <is>
          <t>AvgLen</t>
        </is>
      </c>
      <c r="W170" s="44" t="inlineStr">
        <is>
          <t>Opp</t>
        </is>
      </c>
      <c r="X170" s="44" t="inlineStr">
        <is>
          <t>Stp</t>
        </is>
      </c>
      <c r="Y170" s="44" t="inlineStr">
        <is>
          <t>Stp%</t>
        </is>
      </c>
      <c r="Z170" s="44" t="inlineStr">
        <is>
          <t>#OPA</t>
        </is>
      </c>
      <c r="AA170" s="44" t="inlineStr">
        <is>
          <t>#OPA/90</t>
        </is>
      </c>
      <c r="AB170" s="44" t="inlineStr">
        <is>
          <t>AvgDist</t>
        </is>
      </c>
    </row>
    <row r="171" ht="17.1" customHeight="1" s="43">
      <c r="A171" s="3" t="inlineStr">
        <is>
          <t>vs Arsenal</t>
        </is>
      </c>
      <c r="B171" s="13" t="n">
        <v>1</v>
      </c>
      <c r="C171" s="13" t="n">
        <v>38</v>
      </c>
      <c r="D171" s="13" t="n">
        <v>69</v>
      </c>
      <c r="E171" s="13" t="n">
        <v>2</v>
      </c>
      <c r="F171" s="13" t="n">
        <v>0</v>
      </c>
      <c r="G171" s="13" t="n">
        <v>12</v>
      </c>
      <c r="H171" s="13" t="n">
        <v>2</v>
      </c>
      <c r="I171" s="13" t="n">
        <v>61.5</v>
      </c>
      <c r="J171" s="13" t="n">
        <v>0.35</v>
      </c>
      <c r="K171" s="13" t="n">
        <v>-5.5</v>
      </c>
      <c r="L171" s="13" t="n">
        <v>-0.14</v>
      </c>
      <c r="M171" s="13" t="n">
        <v>215</v>
      </c>
      <c r="N171" s="13" t="n">
        <v>661</v>
      </c>
      <c r="O171" s="13" t="n">
        <v>32.5</v>
      </c>
      <c r="P171" s="13" t="n">
        <v>1123</v>
      </c>
      <c r="Q171" s="13" t="n">
        <v>116</v>
      </c>
      <c r="R171" s="13" t="n">
        <v>44.9</v>
      </c>
      <c r="S171" s="13" t="n">
        <v>37.7</v>
      </c>
      <c r="T171" s="13" t="n">
        <v>309</v>
      </c>
      <c r="U171" s="13" t="n">
        <v>50.8</v>
      </c>
      <c r="V171" s="13" t="n">
        <v>39.1</v>
      </c>
      <c r="W171" s="13" t="n">
        <v>602</v>
      </c>
      <c r="X171" s="13" t="n">
        <v>33</v>
      </c>
      <c r="Y171" s="13" t="n">
        <v>5.5</v>
      </c>
      <c r="Z171" s="13" t="n">
        <v>33</v>
      </c>
      <c r="AA171" s="13" t="n">
        <v>0.87</v>
      </c>
      <c r="AB171" s="13" t="n">
        <v>11.8</v>
      </c>
    </row>
    <row r="172">
      <c r="A172" s="3" t="inlineStr">
        <is>
          <t>vs Aston Villa</t>
        </is>
      </c>
      <c r="B172" s="13" t="n">
        <v>2</v>
      </c>
      <c r="C172" s="13" t="n">
        <v>38</v>
      </c>
      <c r="D172" s="13" t="n">
        <v>58</v>
      </c>
      <c r="E172" s="13" t="n">
        <v>3</v>
      </c>
      <c r="F172" s="13" t="n">
        <v>0</v>
      </c>
      <c r="G172" s="13" t="n">
        <v>9</v>
      </c>
      <c r="H172" s="13" t="n">
        <v>2</v>
      </c>
      <c r="I172" s="13" t="n">
        <v>57.7</v>
      </c>
      <c r="J172" s="13" t="n">
        <v>0.33</v>
      </c>
      <c r="K172" s="13" t="n">
        <v>1.7</v>
      </c>
      <c r="L172" s="13" t="n">
        <v>0.04</v>
      </c>
      <c r="M172" s="13" t="n">
        <v>149</v>
      </c>
      <c r="N172" s="13" t="n">
        <v>380</v>
      </c>
      <c r="O172" s="13" t="n">
        <v>39.2</v>
      </c>
      <c r="P172" s="13" t="n">
        <v>882</v>
      </c>
      <c r="Q172" s="13" t="n">
        <v>167</v>
      </c>
      <c r="R172" s="13" t="n">
        <v>30.6</v>
      </c>
      <c r="S172" s="13" t="n">
        <v>32.4</v>
      </c>
      <c r="T172" s="13" t="n">
        <v>262</v>
      </c>
      <c r="U172" s="13" t="n">
        <v>42</v>
      </c>
      <c r="V172" s="13" t="n">
        <v>34.2</v>
      </c>
      <c r="W172" s="13" t="n">
        <v>462</v>
      </c>
      <c r="X172" s="13" t="n">
        <v>40</v>
      </c>
      <c r="Y172" s="13" t="n">
        <v>8.699999999999999</v>
      </c>
      <c r="Z172" s="13" t="n">
        <v>44</v>
      </c>
      <c r="AA172" s="13" t="n">
        <v>1.16</v>
      </c>
      <c r="AB172" s="13" t="n">
        <v>13.1</v>
      </c>
    </row>
    <row r="173">
      <c r="A173" s="3" t="inlineStr">
        <is>
          <t>vs Bournemouth</t>
        </is>
      </c>
      <c r="B173" s="13" t="n">
        <v>3</v>
      </c>
      <c r="C173" s="13" t="n">
        <v>38</v>
      </c>
      <c r="D173" s="13" t="n">
        <v>58</v>
      </c>
      <c r="E173" s="13" t="n">
        <v>6</v>
      </c>
      <c r="F173" s="13" t="n">
        <v>1</v>
      </c>
      <c r="G173" s="13" t="n">
        <v>5</v>
      </c>
      <c r="H173" s="13" t="n">
        <v>1</v>
      </c>
      <c r="I173" s="13" t="n">
        <v>65</v>
      </c>
      <c r="J173" s="13" t="n">
        <v>0.3</v>
      </c>
      <c r="K173" s="13" t="n">
        <v>8</v>
      </c>
      <c r="L173" s="13" t="n">
        <v>0.21</v>
      </c>
      <c r="M173" s="13" t="n">
        <v>242</v>
      </c>
      <c r="N173" s="13" t="n">
        <v>673</v>
      </c>
      <c r="O173" s="13" t="n">
        <v>36</v>
      </c>
      <c r="P173" s="13" t="n">
        <v>1233</v>
      </c>
      <c r="Q173" s="13" t="n">
        <v>155</v>
      </c>
      <c r="R173" s="13" t="n">
        <v>41.2</v>
      </c>
      <c r="S173" s="13" t="n">
        <v>36.5</v>
      </c>
      <c r="T173" s="13" t="n">
        <v>343</v>
      </c>
      <c r="U173" s="13" t="n">
        <v>48.1</v>
      </c>
      <c r="V173" s="13" t="n">
        <v>37.5</v>
      </c>
      <c r="W173" s="13" t="n">
        <v>637</v>
      </c>
      <c r="X173" s="13" t="n">
        <v>47</v>
      </c>
      <c r="Y173" s="13" t="n">
        <v>7.4</v>
      </c>
      <c r="Z173" s="13" t="n">
        <v>50</v>
      </c>
      <c r="AA173" s="13" t="n">
        <v>1.32</v>
      </c>
      <c r="AB173" s="13" t="n">
        <v>13.7</v>
      </c>
    </row>
    <row r="174">
      <c r="A174" s="3" t="inlineStr">
        <is>
          <t>vs Brentford</t>
        </is>
      </c>
      <c r="B174" s="13" t="n">
        <v>2</v>
      </c>
      <c r="C174" s="13" t="n">
        <v>38</v>
      </c>
      <c r="D174" s="13" t="n">
        <v>66</v>
      </c>
      <c r="E174" s="13" t="n">
        <v>5</v>
      </c>
      <c r="F174" s="13" t="n">
        <v>0</v>
      </c>
      <c r="G174" s="13" t="n">
        <v>5</v>
      </c>
      <c r="H174" s="13" t="n">
        <v>1</v>
      </c>
      <c r="I174" s="13" t="n">
        <v>67.3</v>
      </c>
      <c r="J174" s="13" t="n">
        <v>0.36</v>
      </c>
      <c r="K174" s="13" t="n">
        <v>2.3</v>
      </c>
      <c r="L174" s="13" t="n">
        <v>0.06</v>
      </c>
      <c r="M174" s="13" t="n">
        <v>187</v>
      </c>
      <c r="N174" s="13" t="n">
        <v>583</v>
      </c>
      <c r="O174" s="13" t="n">
        <v>32.1</v>
      </c>
      <c r="P174" s="13" t="n">
        <v>1160</v>
      </c>
      <c r="Q174" s="13" t="n">
        <v>184</v>
      </c>
      <c r="R174" s="13" t="n">
        <v>40.3</v>
      </c>
      <c r="S174" s="13" t="n">
        <v>35.7</v>
      </c>
      <c r="T174" s="13" t="n">
        <v>252</v>
      </c>
      <c r="U174" s="13" t="n">
        <v>45.6</v>
      </c>
      <c r="V174" s="13" t="n">
        <v>36.6</v>
      </c>
      <c r="W174" s="13" t="n">
        <v>534</v>
      </c>
      <c r="X174" s="13" t="n">
        <v>44</v>
      </c>
      <c r="Y174" s="13" t="n">
        <v>8.199999999999999</v>
      </c>
      <c r="Z174" s="13" t="n">
        <v>67</v>
      </c>
      <c r="AA174" s="13" t="n">
        <v>1.76</v>
      </c>
      <c r="AB174" s="13" t="n">
        <v>15.6</v>
      </c>
    </row>
    <row r="175" ht="17.1" customHeight="1" s="43">
      <c r="A175" s="3" t="inlineStr">
        <is>
          <t>vs Brighton</t>
        </is>
      </c>
      <c r="B175" s="13" t="n">
        <v>2</v>
      </c>
      <c r="C175" s="13" t="n">
        <v>38</v>
      </c>
      <c r="D175" s="13" t="n">
        <v>66</v>
      </c>
      <c r="E175" s="13" t="n">
        <v>7</v>
      </c>
      <c r="F175" s="13" t="n">
        <v>2</v>
      </c>
      <c r="G175" s="13" t="n">
        <v>6</v>
      </c>
      <c r="H175" s="13" t="n">
        <v>2</v>
      </c>
      <c r="I175" s="13" t="n">
        <v>67.8</v>
      </c>
      <c r="J175" s="13" t="n">
        <v>0.33</v>
      </c>
      <c r="K175" s="13" t="n">
        <v>3.8</v>
      </c>
      <c r="L175" s="13" t="n">
        <v>0.1</v>
      </c>
      <c r="M175" s="13" t="n">
        <v>204</v>
      </c>
      <c r="N175" s="13" t="n">
        <v>619</v>
      </c>
      <c r="O175" s="13" t="n">
        <v>33</v>
      </c>
      <c r="P175" s="13" t="n">
        <v>1368</v>
      </c>
      <c r="Q175" s="13" t="n">
        <v>187</v>
      </c>
      <c r="R175" s="13" t="n">
        <v>35.5</v>
      </c>
      <c r="S175" s="13" t="n">
        <v>33.4</v>
      </c>
      <c r="T175" s="13" t="n">
        <v>298</v>
      </c>
      <c r="U175" s="13" t="n">
        <v>44.6</v>
      </c>
      <c r="V175" s="13" t="n">
        <v>36.2</v>
      </c>
      <c r="W175" s="13" t="n">
        <v>541</v>
      </c>
      <c r="X175" s="13" t="n">
        <v>29</v>
      </c>
      <c r="Y175" s="13" t="n">
        <v>5.4</v>
      </c>
      <c r="Z175" s="13" t="n">
        <v>64</v>
      </c>
      <c r="AA175" s="13" t="n">
        <v>1.68</v>
      </c>
      <c r="AB175" s="13" t="n">
        <v>15.8</v>
      </c>
    </row>
    <row r="176">
      <c r="A176" s="3" t="inlineStr">
        <is>
          <t>vs Chelsea</t>
        </is>
      </c>
      <c r="B176" s="13" t="n">
        <v>2</v>
      </c>
      <c r="C176" s="13" t="n">
        <v>38</v>
      </c>
      <c r="D176" s="13" t="n">
        <v>64</v>
      </c>
      <c r="E176" s="13" t="n">
        <v>4</v>
      </c>
      <c r="F176" s="13" t="n">
        <v>2</v>
      </c>
      <c r="G176" s="13" t="n">
        <v>7</v>
      </c>
      <c r="H176" s="13" t="n">
        <v>3</v>
      </c>
      <c r="I176" s="13" t="n">
        <v>68.90000000000001</v>
      </c>
      <c r="J176" s="13" t="n">
        <v>0.32</v>
      </c>
      <c r="K176" s="13" t="n">
        <v>7.9</v>
      </c>
      <c r="L176" s="13" t="n">
        <v>0.21</v>
      </c>
      <c r="M176" s="13" t="n">
        <v>180</v>
      </c>
      <c r="N176" s="13" t="n">
        <v>583</v>
      </c>
      <c r="O176" s="13" t="n">
        <v>30.9</v>
      </c>
      <c r="P176" s="13" t="n">
        <v>1207</v>
      </c>
      <c r="Q176" s="13" t="n">
        <v>196</v>
      </c>
      <c r="R176" s="13" t="n">
        <v>36.5</v>
      </c>
      <c r="S176" s="13" t="n">
        <v>34.1</v>
      </c>
      <c r="T176" s="13" t="n">
        <v>310</v>
      </c>
      <c r="U176" s="13" t="n">
        <v>45.8</v>
      </c>
      <c r="V176" s="13" t="n">
        <v>37</v>
      </c>
      <c r="W176" s="13" t="n">
        <v>495</v>
      </c>
      <c r="X176" s="13" t="n">
        <v>33</v>
      </c>
      <c r="Y176" s="13" t="n">
        <v>6.7</v>
      </c>
      <c r="Z176" s="13" t="n">
        <v>44</v>
      </c>
      <c r="AA176" s="13" t="n">
        <v>1.16</v>
      </c>
      <c r="AB176" s="13" t="n">
        <v>13.7</v>
      </c>
    </row>
    <row r="177" ht="17.1" customHeight="1" s="43">
      <c r="A177" s="3" t="inlineStr">
        <is>
          <t>vs Crystal Palace</t>
        </is>
      </c>
      <c r="B177" s="13" t="n">
        <v>1</v>
      </c>
      <c r="C177" s="13" t="n">
        <v>38</v>
      </c>
      <c r="D177" s="13" t="n">
        <v>51</v>
      </c>
      <c r="E177" s="13" t="n">
        <v>3</v>
      </c>
      <c r="F177" s="13" t="n">
        <v>1</v>
      </c>
      <c r="G177" s="13" t="n">
        <v>10</v>
      </c>
      <c r="H177" s="13" t="n">
        <v>2</v>
      </c>
      <c r="I177" s="13" t="n">
        <v>57.5</v>
      </c>
      <c r="J177" s="13" t="n">
        <v>0.31</v>
      </c>
      <c r="K177" s="13" t="n">
        <v>8.5</v>
      </c>
      <c r="L177" s="13" t="n">
        <v>0.22</v>
      </c>
      <c r="M177" s="13" t="n">
        <v>179</v>
      </c>
      <c r="N177" s="13" t="n">
        <v>449</v>
      </c>
      <c r="O177" s="13" t="n">
        <v>39.9</v>
      </c>
      <c r="P177" s="13" t="n">
        <v>1224</v>
      </c>
      <c r="Q177" s="13" t="n">
        <v>206</v>
      </c>
      <c r="R177" s="13" t="n">
        <v>27.8</v>
      </c>
      <c r="S177" s="13" t="n">
        <v>30.3</v>
      </c>
      <c r="T177" s="13" t="n">
        <v>248</v>
      </c>
      <c r="U177" s="13" t="n">
        <v>44</v>
      </c>
      <c r="V177" s="13" t="n">
        <v>36.8</v>
      </c>
      <c r="W177" s="13" t="n">
        <v>490</v>
      </c>
      <c r="X177" s="13" t="n">
        <v>39</v>
      </c>
      <c r="Y177" s="13" t="n">
        <v>8</v>
      </c>
      <c r="Z177" s="13" t="n">
        <v>54</v>
      </c>
      <c r="AA177" s="13" t="n">
        <v>1.42</v>
      </c>
      <c r="AB177" s="13" t="n">
        <v>14.4</v>
      </c>
    </row>
    <row r="178" ht="63" customHeight="1" s="43">
      <c r="A178" s="3" t="inlineStr">
        <is>
          <t>vs Everton</t>
        </is>
      </c>
      <c r="B178" s="13" t="n">
        <v>1</v>
      </c>
      <c r="C178" s="13" t="n">
        <v>38</v>
      </c>
      <c r="D178" s="13" t="n">
        <v>42</v>
      </c>
      <c r="E178" s="13" t="n">
        <v>2</v>
      </c>
      <c r="F178" s="13" t="n">
        <v>1</v>
      </c>
      <c r="G178" s="13" t="n">
        <v>4</v>
      </c>
      <c r="H178" s="13" t="n">
        <v>3</v>
      </c>
      <c r="I178" s="13" t="n">
        <v>40.3</v>
      </c>
      <c r="J178" s="13" t="n">
        <v>0.28</v>
      </c>
      <c r="K178" s="13" t="n">
        <v>1.3</v>
      </c>
      <c r="L178" s="13" t="n">
        <v>0.03</v>
      </c>
      <c r="M178" s="13" t="n">
        <v>101</v>
      </c>
      <c r="N178" s="13" t="n">
        <v>332</v>
      </c>
      <c r="O178" s="13" t="n">
        <v>30.4</v>
      </c>
      <c r="P178" s="13" t="n">
        <v>1107</v>
      </c>
      <c r="Q178" s="13" t="n">
        <v>201</v>
      </c>
      <c r="R178" s="13" t="n">
        <v>22.6</v>
      </c>
      <c r="S178" s="13" t="n">
        <v>29.1</v>
      </c>
      <c r="T178" s="13" t="n">
        <v>244</v>
      </c>
      <c r="U178" s="13" t="n">
        <v>33.6</v>
      </c>
      <c r="V178" s="13" t="n">
        <v>30.9</v>
      </c>
      <c r="W178" s="13" t="n">
        <v>539</v>
      </c>
      <c r="X178" s="13" t="n">
        <v>43</v>
      </c>
      <c r="Y178" s="13" t="n">
        <v>8</v>
      </c>
      <c r="Z178" s="13" t="n">
        <v>33</v>
      </c>
      <c r="AA178" s="13" t="n">
        <v>0.87</v>
      </c>
      <c r="AB178" s="13" t="n">
        <v>12.5</v>
      </c>
      <c r="AY178" s="20" t="inlineStr">
        <is>
          <t>Shots On Target Against Per Game</t>
        </is>
      </c>
      <c r="AZ178" s="20" t="inlineStr">
        <is>
          <t>Save Percentage</t>
        </is>
      </c>
      <c r="BA178" s="20" t="inlineStr">
        <is>
          <t>Clean Sheet Percentage</t>
        </is>
      </c>
      <c r="BB178" s="24" t="inlineStr">
        <is>
          <t>Penalty Kick Save Percentage</t>
        </is>
      </c>
      <c r="BF178" t="inlineStr">
        <is>
          <t>SoTA per Game</t>
        </is>
      </c>
    </row>
    <row r="179">
      <c r="A179" s="3" t="inlineStr">
        <is>
          <t>vs Fulham</t>
        </is>
      </c>
      <c r="B179" s="13" t="n">
        <v>1</v>
      </c>
      <c r="C179" s="13" t="n">
        <v>38</v>
      </c>
      <c r="D179" s="13" t="n">
        <v>54</v>
      </c>
      <c r="E179" s="13" t="n">
        <v>3</v>
      </c>
      <c r="F179" s="13" t="n">
        <v>0</v>
      </c>
      <c r="G179" s="13" t="n">
        <v>3</v>
      </c>
      <c r="H179" s="13" t="n">
        <v>1</v>
      </c>
      <c r="I179" s="13" t="n">
        <v>55.3</v>
      </c>
      <c r="J179" s="13" t="n">
        <v>0.31</v>
      </c>
      <c r="K179" s="13" t="n">
        <v>2.3</v>
      </c>
      <c r="L179" s="13" t="n">
        <v>0.06</v>
      </c>
      <c r="M179" s="13" t="n">
        <v>140</v>
      </c>
      <c r="N179" s="13" t="n">
        <v>480</v>
      </c>
      <c r="O179" s="13" t="n">
        <v>29.2</v>
      </c>
      <c r="P179" s="13" t="n">
        <v>1017</v>
      </c>
      <c r="Q179" s="13" t="n">
        <v>166</v>
      </c>
      <c r="R179" s="13" t="n">
        <v>35</v>
      </c>
      <c r="S179" s="13" t="n">
        <v>34.2</v>
      </c>
      <c r="T179" s="13" t="n">
        <v>296</v>
      </c>
      <c r="U179" s="13" t="n">
        <v>41.9</v>
      </c>
      <c r="V179" s="13" t="n">
        <v>35.6</v>
      </c>
      <c r="W179" s="13" t="n">
        <v>661</v>
      </c>
      <c r="X179" s="13" t="n">
        <v>33</v>
      </c>
      <c r="Y179" s="13" t="n">
        <v>5</v>
      </c>
      <c r="Z179" s="13" t="n">
        <v>48</v>
      </c>
      <c r="AA179" s="13" t="n">
        <v>1.26</v>
      </c>
      <c r="AB179" s="13" t="n">
        <v>14.6</v>
      </c>
      <c r="AX179">
        <f>VLOOKUP(A179,Helpers!$F$4:$G$32,2,0)</f>
        <v/>
      </c>
      <c r="AY179">
        <f>IF(IF(COUNTIF(BJ$179:BJ$198,BJ179)&gt;1,TRUE, FALSE),"T"&amp;BJ179,BJ179)</f>
        <v/>
      </c>
      <c r="AZ179">
        <f>IF(IF(COUNTIF(BK$179:BK$198,BK179)&gt;1,TRUE, FALSE),"T"&amp;BK179,BK179)</f>
        <v/>
      </c>
      <c r="BA179">
        <f>IF(IF(COUNTIF(BL$179:BL$198,BL179)&gt;1,TRUE, FALSE),"T"&amp;BL179,BL179)</f>
        <v/>
      </c>
      <c r="BB179">
        <f>IF(IF(COUNTIF(BM$179:BM$198,BM179)&gt;1,TRUE, FALSE),"T"&amp;BM179,BM179)</f>
        <v/>
      </c>
      <c r="BF179">
        <f>I179/C179</f>
        <v/>
      </c>
      <c r="BJ179">
        <f>RANK(BF179,BF$179:BF$198,1)</f>
        <v/>
      </c>
      <c r="BK179">
        <f>RANK(K179,K$179:K$198)</f>
        <v/>
      </c>
      <c r="BL179">
        <f>RANK(P179,P$179:P$198)</f>
        <v/>
      </c>
      <c r="BM179">
        <f>RANK(U179,U$179:U$198)</f>
        <v/>
      </c>
    </row>
    <row r="180">
      <c r="A180" s="3" t="inlineStr">
        <is>
          <t>vs Ipswich Town</t>
        </is>
      </c>
      <c r="B180" s="13" t="n">
        <v>3</v>
      </c>
      <c r="C180" s="13" t="n">
        <v>38</v>
      </c>
      <c r="D180" s="13" t="n">
        <v>36</v>
      </c>
      <c r="E180" s="13" t="n">
        <v>2</v>
      </c>
      <c r="F180" s="13" t="n">
        <v>0</v>
      </c>
      <c r="G180" s="13" t="n">
        <v>4</v>
      </c>
      <c r="H180" s="13" t="n">
        <v>1</v>
      </c>
      <c r="I180" s="13" t="n">
        <v>35.3</v>
      </c>
      <c r="J180" s="13" t="n">
        <v>0.28</v>
      </c>
      <c r="K180" s="13" t="n">
        <v>0.3</v>
      </c>
      <c r="L180" s="13" t="n">
        <v>0.01</v>
      </c>
      <c r="M180" s="13" t="n">
        <v>105</v>
      </c>
      <c r="N180" s="13" t="n">
        <v>439</v>
      </c>
      <c r="O180" s="13" t="n">
        <v>23.9</v>
      </c>
      <c r="P180" s="13" t="n">
        <v>1154</v>
      </c>
      <c r="Q180" s="13" t="n">
        <v>112</v>
      </c>
      <c r="R180" s="13" t="n">
        <v>29.5</v>
      </c>
      <c r="S180" s="13" t="n">
        <v>31.8</v>
      </c>
      <c r="T180" s="13" t="n">
        <v>206</v>
      </c>
      <c r="U180" s="13" t="n">
        <v>48.1</v>
      </c>
      <c r="V180" s="13" t="n">
        <v>38.6</v>
      </c>
      <c r="W180" s="13" t="n">
        <v>388</v>
      </c>
      <c r="X180" s="13" t="n">
        <v>37</v>
      </c>
      <c r="Y180" s="13" t="n">
        <v>9.5</v>
      </c>
      <c r="Z180" s="13" t="n">
        <v>46</v>
      </c>
      <c r="AA180" s="13" t="n">
        <v>1.21</v>
      </c>
      <c r="AB180" s="13" t="n">
        <v>15</v>
      </c>
      <c r="AX180">
        <f>VLOOKUP(A180,Helpers!$F$4:$G$32,2,0)</f>
        <v/>
      </c>
      <c r="AY180">
        <f>IF(IF(COUNTIF(BJ$179:BJ$198,BJ180)&gt;1,TRUE, FALSE),"T"&amp;BJ180,BJ180)</f>
        <v/>
      </c>
      <c r="AZ180">
        <f>IF(IF(COUNTIF(BK$179:BK$198,BK180)&gt;1,TRUE, FALSE),"T"&amp;BK180,BK180)</f>
        <v/>
      </c>
      <c r="BA180">
        <f>IF(IF(COUNTIF(BL$179:BL$198,BL180)&gt;1,TRUE, FALSE),"T"&amp;BL180,BL180)</f>
        <v/>
      </c>
      <c r="BB180">
        <f>IF(IF(COUNTIF(BM$179:BM$198,BM180)&gt;1,TRUE, FALSE),"T"&amp;BM180,BM180)</f>
        <v/>
      </c>
      <c r="BF180">
        <f>I180/C180</f>
        <v/>
      </c>
      <c r="BJ180">
        <f>RANK(BF180,BF$179:BF$198,1)</f>
        <v/>
      </c>
      <c r="BK180">
        <f>RANK(K180,K$179:K$198)</f>
        <v/>
      </c>
      <c r="BL180">
        <f>RANK(P180,P$179:P$198)</f>
        <v/>
      </c>
      <c r="BM180">
        <f>RANK(U180,U$179:U$198)</f>
        <v/>
      </c>
    </row>
    <row r="181" ht="17.1" customHeight="1" s="43">
      <c r="A181" s="3" t="inlineStr">
        <is>
          <t>vs Leicester City</t>
        </is>
      </c>
      <c r="B181" s="13" t="n">
        <v>3</v>
      </c>
      <c r="C181" s="13" t="n">
        <v>38</v>
      </c>
      <c r="D181" s="13" t="n">
        <v>33</v>
      </c>
      <c r="E181" s="13" t="n">
        <v>2</v>
      </c>
      <c r="F181" s="13" t="n">
        <v>0</v>
      </c>
      <c r="G181" s="13" t="n">
        <v>3</v>
      </c>
      <c r="H181" s="13" t="n">
        <v>0</v>
      </c>
      <c r="I181" s="13" t="n">
        <v>33.6</v>
      </c>
      <c r="J181" s="13" t="n">
        <v>0.3</v>
      </c>
      <c r="K181" s="13" t="n">
        <v>0.6</v>
      </c>
      <c r="L181" s="13" t="n">
        <v>0.02</v>
      </c>
      <c r="M181" s="13" t="n">
        <v>124</v>
      </c>
      <c r="N181" s="13" t="n">
        <v>336</v>
      </c>
      <c r="O181" s="13" t="n">
        <v>36.9</v>
      </c>
      <c r="P181" s="13" t="n">
        <v>1008</v>
      </c>
      <c r="Q181" s="13" t="n">
        <v>150</v>
      </c>
      <c r="R181" s="13" t="n">
        <v>25</v>
      </c>
      <c r="S181" s="13" t="n">
        <v>30.1</v>
      </c>
      <c r="T181" s="13" t="n">
        <v>227</v>
      </c>
      <c r="U181" s="13" t="n">
        <v>37</v>
      </c>
      <c r="V181" s="13" t="n">
        <v>33.4</v>
      </c>
      <c r="W181" s="13" t="n">
        <v>469</v>
      </c>
      <c r="X181" s="13" t="n">
        <v>35</v>
      </c>
      <c r="Y181" s="13" t="n">
        <v>7.5</v>
      </c>
      <c r="Z181" s="13" t="n">
        <v>47</v>
      </c>
      <c r="AA181" s="13" t="n">
        <v>1.24</v>
      </c>
      <c r="AB181" s="13" t="n">
        <v>14.4</v>
      </c>
      <c r="AX181">
        <f>VLOOKUP(A181,Helpers!$F$4:$G$32,2,0)</f>
        <v/>
      </c>
      <c r="AY181">
        <f>IF(IF(COUNTIF(BJ$179:BJ$198,BJ181)&gt;1,TRUE, FALSE),"T"&amp;BJ181,BJ181)</f>
        <v/>
      </c>
      <c r="AZ181">
        <f>IF(IF(COUNTIF(BK$179:BK$198,BK181)&gt;1,TRUE, FALSE),"T"&amp;BK181,BK181)</f>
        <v/>
      </c>
      <c r="BA181">
        <f>IF(IF(COUNTIF(BL$179:BL$198,BL181)&gt;1,TRUE, FALSE),"T"&amp;BL181,BL181)</f>
        <v/>
      </c>
      <c r="BB181">
        <f>IF(IF(COUNTIF(BM$179:BM$198,BM181)&gt;1,TRUE, FALSE),"T"&amp;BM181,BM181)</f>
        <v/>
      </c>
      <c r="BF181">
        <f>I181/C181</f>
        <v/>
      </c>
      <c r="BJ181">
        <f>RANK(BF181,BF$179:BF$198,1)</f>
        <v/>
      </c>
      <c r="BK181">
        <f>RANK(K181,K$179:K$198)</f>
        <v/>
      </c>
      <c r="BL181">
        <f>RANK(P181,P$179:P$198)</f>
        <v/>
      </c>
      <c r="BM181">
        <f>RANK(U181,U$179:U$198)</f>
        <v/>
      </c>
    </row>
    <row r="182">
      <c r="A182" s="3" t="inlineStr">
        <is>
          <t>vs Liverpool</t>
        </is>
      </c>
      <c r="B182" s="13" t="n">
        <v>3</v>
      </c>
      <c r="C182" s="13" t="n">
        <v>38</v>
      </c>
      <c r="D182" s="13" t="n">
        <v>86</v>
      </c>
      <c r="E182" s="13" t="n">
        <v>9</v>
      </c>
      <c r="F182" s="13" t="n">
        <v>0</v>
      </c>
      <c r="G182" s="13" t="n">
        <v>8</v>
      </c>
      <c r="H182" s="13" t="n">
        <v>1</v>
      </c>
      <c r="I182" s="13" t="n">
        <v>78.3</v>
      </c>
      <c r="J182" s="13" t="n">
        <v>0.32</v>
      </c>
      <c r="K182" s="13" t="n">
        <v>-6.7</v>
      </c>
      <c r="L182" s="13" t="n">
        <v>-0.18</v>
      </c>
      <c r="M182" s="13" t="n">
        <v>181</v>
      </c>
      <c r="N182" s="13" t="n">
        <v>551</v>
      </c>
      <c r="O182" s="13" t="n">
        <v>32.8</v>
      </c>
      <c r="P182" s="13" t="n">
        <v>1073</v>
      </c>
      <c r="Q182" s="13" t="n">
        <v>173</v>
      </c>
      <c r="R182" s="13" t="n">
        <v>37.7</v>
      </c>
      <c r="S182" s="13" t="n">
        <v>35.1</v>
      </c>
      <c r="T182" s="13" t="n">
        <v>347</v>
      </c>
      <c r="U182" s="13" t="n">
        <v>42.1</v>
      </c>
      <c r="V182" s="13" t="n">
        <v>34.4</v>
      </c>
      <c r="W182" s="13" t="n">
        <v>610</v>
      </c>
      <c r="X182" s="13" t="n">
        <v>36</v>
      </c>
      <c r="Y182" s="13" t="n">
        <v>5.9</v>
      </c>
      <c r="Z182" s="13" t="n">
        <v>44</v>
      </c>
      <c r="AA182" s="13" t="n">
        <v>1.16</v>
      </c>
      <c r="AB182" s="13" t="n">
        <v>12.7</v>
      </c>
      <c r="AX182">
        <f>VLOOKUP(A182,Helpers!$F$4:$G$32,2,0)</f>
        <v/>
      </c>
      <c r="AY182">
        <f>IF(IF(COUNTIF(BJ$179:BJ$198,BJ182)&gt;1,TRUE, FALSE),"T"&amp;BJ182,BJ182)</f>
        <v/>
      </c>
      <c r="AZ182">
        <f>IF(IF(COUNTIF(BK$179:BK$198,BK182)&gt;1,TRUE, FALSE),"T"&amp;BK182,BK182)</f>
        <v/>
      </c>
      <c r="BA182">
        <f>IF(IF(COUNTIF(BL$179:BL$198,BL182)&gt;1,TRUE, FALSE),"T"&amp;BL182,BL182)</f>
        <v/>
      </c>
      <c r="BB182">
        <f>IF(IF(COUNTIF(BM$179:BM$198,BM182)&gt;1,TRUE, FALSE),"T"&amp;BM182,BM182)</f>
        <v/>
      </c>
      <c r="BF182">
        <f>I182/C182</f>
        <v/>
      </c>
      <c r="BJ182">
        <f>RANK(BF182,BF$179:BF$198,1)</f>
        <v/>
      </c>
      <c r="BK182">
        <f>RANK(K182,K$179:K$198)</f>
        <v/>
      </c>
      <c r="BL182">
        <f>RANK(P182,P$179:P$198)</f>
        <v/>
      </c>
      <c r="BM182">
        <f>RANK(U182,U$179:U$198)</f>
        <v/>
      </c>
    </row>
    <row r="183" ht="18" customHeight="1" s="43">
      <c r="A183" s="3" t="inlineStr">
        <is>
          <t>vs Manchester City</t>
        </is>
      </c>
      <c r="B183" s="13" t="n">
        <v>2</v>
      </c>
      <c r="C183" s="13" t="n">
        <v>38</v>
      </c>
      <c r="D183" s="13" t="n">
        <v>72</v>
      </c>
      <c r="E183" s="13" t="n">
        <v>3</v>
      </c>
      <c r="F183" s="13" t="n">
        <v>1</v>
      </c>
      <c r="G183" s="13" t="n">
        <v>6</v>
      </c>
      <c r="H183" s="13" t="n">
        <v>1</v>
      </c>
      <c r="I183" s="13" t="n">
        <v>69.2</v>
      </c>
      <c r="J183" s="13" t="n">
        <v>0.32</v>
      </c>
      <c r="K183" s="13" t="n">
        <v>-1.8</v>
      </c>
      <c r="L183" s="13" t="n">
        <v>-0.05</v>
      </c>
      <c r="M183" s="13" t="n">
        <v>191</v>
      </c>
      <c r="N183" s="13" t="n">
        <v>559</v>
      </c>
      <c r="O183" s="13" t="n">
        <v>34.2</v>
      </c>
      <c r="P183" s="13" t="n">
        <v>1199</v>
      </c>
      <c r="Q183" s="13" t="n">
        <v>158</v>
      </c>
      <c r="R183" s="13" t="n">
        <v>36.4</v>
      </c>
      <c r="S183" s="13" t="n">
        <v>33.8</v>
      </c>
      <c r="T183" s="13" t="n">
        <v>295</v>
      </c>
      <c r="U183" s="13" t="n">
        <v>41.7</v>
      </c>
      <c r="V183" s="13" t="n">
        <v>35.6</v>
      </c>
      <c r="W183" s="13" t="n">
        <v>484</v>
      </c>
      <c r="X183" s="13" t="n">
        <v>36</v>
      </c>
      <c r="Y183" s="13" t="n">
        <v>7.4</v>
      </c>
      <c r="Z183" s="13" t="n">
        <v>30</v>
      </c>
      <c r="AA183" s="13" t="n">
        <v>0.79</v>
      </c>
      <c r="AB183" s="13" t="n">
        <v>12.2</v>
      </c>
      <c r="AX183">
        <f>VLOOKUP(A183,Helpers!$F$4:$G$32,2,0)</f>
        <v/>
      </c>
      <c r="AY183">
        <f>IF(IF(COUNTIF(BJ$179:BJ$198,BJ183)&gt;1,TRUE, FALSE),"T"&amp;BJ183,BJ183)</f>
        <v/>
      </c>
      <c r="AZ183">
        <f>IF(IF(COUNTIF(BK$179:BK$198,BK183)&gt;1,TRUE, FALSE),"T"&amp;BK183,BK183)</f>
        <v/>
      </c>
      <c r="BA183">
        <f>IF(IF(COUNTIF(BL$179:BL$198,BL183)&gt;1,TRUE, FALSE),"T"&amp;BL183,BL183)</f>
        <v/>
      </c>
      <c r="BB183">
        <f>IF(IF(COUNTIF(BM$179:BM$198,BM183)&gt;1,TRUE, FALSE),"T"&amp;BM183,BM183)</f>
        <v/>
      </c>
      <c r="BF183">
        <f>I183/C183</f>
        <v/>
      </c>
      <c r="BJ183">
        <f>RANK(BF183,BF$179:BF$198,1)</f>
        <v/>
      </c>
      <c r="BK183">
        <f>RANK(K183,K$179:K$198)</f>
        <v/>
      </c>
      <c r="BL183">
        <f>RANK(P183,P$179:P$198)</f>
        <v/>
      </c>
      <c r="BM183">
        <f>RANK(U183,U$179:U$198)</f>
        <v/>
      </c>
    </row>
    <row r="184" ht="17.1" customHeight="1" s="43">
      <c r="A184" s="3" t="inlineStr">
        <is>
          <t>vs Manchester Utd</t>
        </is>
      </c>
      <c r="B184" s="13" t="n">
        <v>2</v>
      </c>
      <c r="C184" s="13" t="n">
        <v>38</v>
      </c>
      <c r="D184" s="13" t="n">
        <v>44</v>
      </c>
      <c r="E184" s="13" t="n">
        <v>4</v>
      </c>
      <c r="F184" s="13" t="n">
        <v>2</v>
      </c>
      <c r="G184" s="13" t="n">
        <v>6</v>
      </c>
      <c r="H184" s="13" t="n">
        <v>2</v>
      </c>
      <c r="I184" s="13" t="n">
        <v>43.3</v>
      </c>
      <c r="J184" s="13" t="n">
        <v>0.24</v>
      </c>
      <c r="K184" s="13" t="n">
        <v>1.3</v>
      </c>
      <c r="L184" s="13" t="n">
        <v>0.04</v>
      </c>
      <c r="M184" s="13" t="n">
        <v>139</v>
      </c>
      <c r="N184" s="13" t="n">
        <v>496</v>
      </c>
      <c r="O184" s="13" t="n">
        <v>28</v>
      </c>
      <c r="P184" s="13" t="n">
        <v>1094</v>
      </c>
      <c r="Q184" s="13" t="n">
        <v>145</v>
      </c>
      <c r="R184" s="13" t="n">
        <v>34.1</v>
      </c>
      <c r="S184" s="13" t="n">
        <v>33.3</v>
      </c>
      <c r="T184" s="13" t="n">
        <v>257</v>
      </c>
      <c r="U184" s="13" t="n">
        <v>47.9</v>
      </c>
      <c r="V184" s="13" t="n">
        <v>38.6</v>
      </c>
      <c r="W184" s="13" t="n">
        <v>509</v>
      </c>
      <c r="X184" s="13" t="n">
        <v>36</v>
      </c>
      <c r="Y184" s="13" t="n">
        <v>7.1</v>
      </c>
      <c r="Z184" s="13" t="n">
        <v>59</v>
      </c>
      <c r="AA184" s="13" t="n">
        <v>1.55</v>
      </c>
      <c r="AB184" s="13" t="n">
        <v>14.6</v>
      </c>
      <c r="AX184">
        <f>VLOOKUP(A184,Helpers!$F$4:$G$32,2,0)</f>
        <v/>
      </c>
      <c r="AY184">
        <f>IF(IF(COUNTIF(BJ$179:BJ$198,BJ184)&gt;1,TRUE, FALSE),"T"&amp;BJ184,BJ184)</f>
        <v/>
      </c>
      <c r="AZ184">
        <f>IF(IF(COUNTIF(BK$179:BK$198,BK184)&gt;1,TRUE, FALSE),"T"&amp;BK184,BK184)</f>
        <v/>
      </c>
      <c r="BA184">
        <f>IF(IF(COUNTIF(BL$179:BL$198,BL184)&gt;1,TRUE, FALSE),"T"&amp;BL184,BL184)</f>
        <v/>
      </c>
      <c r="BB184">
        <f>IF(IF(COUNTIF(BM$179:BM$198,BM184)&gt;1,TRUE, FALSE),"T"&amp;BM184,BM184)</f>
        <v/>
      </c>
      <c r="BF184">
        <f>I184/C184</f>
        <v/>
      </c>
      <c r="BJ184">
        <f>RANK(BF184,BF$179:BF$198,1)</f>
        <v/>
      </c>
      <c r="BK184">
        <f>RANK(K184,K$179:K$198)</f>
        <v/>
      </c>
      <c r="BL184">
        <f>RANK(P184,P$179:P$198)</f>
        <v/>
      </c>
      <c r="BM184">
        <f>RANK(U184,U$179:U$198)</f>
        <v/>
      </c>
    </row>
    <row r="185">
      <c r="A185" s="3" t="inlineStr">
        <is>
          <t>vs Newcastle Utd</t>
        </is>
      </c>
      <c r="B185" s="13" t="n">
        <v>2</v>
      </c>
      <c r="C185" s="13" t="n">
        <v>38</v>
      </c>
      <c r="D185" s="13" t="n">
        <v>68</v>
      </c>
      <c r="E185" s="13" t="n">
        <v>5</v>
      </c>
      <c r="F185" s="13" t="n">
        <v>0</v>
      </c>
      <c r="G185" s="13" t="n">
        <v>5</v>
      </c>
      <c r="H185" s="13" t="n">
        <v>2</v>
      </c>
      <c r="I185" s="13" t="n">
        <v>65.3</v>
      </c>
      <c r="J185" s="13" t="n">
        <v>0.36</v>
      </c>
      <c r="K185" s="13" t="n">
        <v>-0.7</v>
      </c>
      <c r="L185" s="13" t="n">
        <v>-0.02</v>
      </c>
      <c r="M185" s="13" t="n">
        <v>268</v>
      </c>
      <c r="N185" s="13" t="n">
        <v>777</v>
      </c>
      <c r="O185" s="13" t="n">
        <v>34.5</v>
      </c>
      <c r="P185" s="13" t="n">
        <v>1175</v>
      </c>
      <c r="Q185" s="13" t="n">
        <v>160</v>
      </c>
      <c r="R185" s="13" t="n">
        <v>51.3</v>
      </c>
      <c r="S185" s="13" t="n">
        <v>40.1</v>
      </c>
      <c r="T185" s="13" t="n">
        <v>310</v>
      </c>
      <c r="U185" s="13" t="n">
        <v>56.1</v>
      </c>
      <c r="V185" s="13" t="n">
        <v>42.1</v>
      </c>
      <c r="W185" s="13" t="n">
        <v>535</v>
      </c>
      <c r="X185" s="13" t="n">
        <v>44</v>
      </c>
      <c r="Y185" s="13" t="n">
        <v>8.199999999999999</v>
      </c>
      <c r="Z185" s="13" t="n">
        <v>44</v>
      </c>
      <c r="AA185" s="13" t="n">
        <v>1.16</v>
      </c>
      <c r="AB185" s="13" t="n">
        <v>12.8</v>
      </c>
      <c r="AX185">
        <f>VLOOKUP(A185,Helpers!$F$4:$G$32,2,0)</f>
        <v/>
      </c>
      <c r="AY185">
        <f>IF(IF(COUNTIF(BJ$179:BJ$198,BJ185)&gt;1,TRUE, FALSE),"T"&amp;BJ185,BJ185)</f>
        <v/>
      </c>
      <c r="AZ185">
        <f>IF(IF(COUNTIF(BK$179:BK$198,BK185)&gt;1,TRUE, FALSE),"T"&amp;BK185,BK185)</f>
        <v/>
      </c>
      <c r="BA185">
        <f>IF(IF(COUNTIF(BL$179:BL$198,BL185)&gt;1,TRUE, FALSE),"T"&amp;BL185,BL185)</f>
        <v/>
      </c>
      <c r="BB185">
        <f>IF(IF(COUNTIF(BM$179:BM$198,BM185)&gt;1,TRUE, FALSE),"T"&amp;BM185,BM185)</f>
        <v/>
      </c>
      <c r="BF185">
        <f>I185/C185</f>
        <v/>
      </c>
      <c r="BJ185">
        <f>RANK(BF185,BF$179:BF$198,1)</f>
        <v/>
      </c>
      <c r="BK185">
        <f>RANK(K185,K$179:K$198)</f>
        <v/>
      </c>
      <c r="BL185">
        <f>RANK(P185,P$179:P$198)</f>
        <v/>
      </c>
      <c r="BM185">
        <f>RANK(U185,U$179:U$198)</f>
        <v/>
      </c>
    </row>
    <row r="186">
      <c r="A186" s="3" t="inlineStr">
        <is>
          <t>vs Nott'ham Forest</t>
        </is>
      </c>
      <c r="B186" s="13" t="n">
        <v>1</v>
      </c>
      <c r="C186" s="13" t="n">
        <v>38</v>
      </c>
      <c r="D186" s="13" t="n">
        <v>58</v>
      </c>
      <c r="E186" s="13" t="n">
        <v>3</v>
      </c>
      <c r="F186" s="13" t="n">
        <v>0</v>
      </c>
      <c r="G186" s="13" t="n">
        <v>10</v>
      </c>
      <c r="H186" s="13" t="n">
        <v>1</v>
      </c>
      <c r="I186" s="13" t="n">
        <v>53.6</v>
      </c>
      <c r="J186" s="13" t="n">
        <v>0.32</v>
      </c>
      <c r="K186" s="13" t="n">
        <v>-3.4</v>
      </c>
      <c r="L186" s="13" t="n">
        <v>-0.09</v>
      </c>
      <c r="M186" s="13" t="n">
        <v>86</v>
      </c>
      <c r="N186" s="13" t="n">
        <v>335</v>
      </c>
      <c r="O186" s="13" t="n">
        <v>25.7</v>
      </c>
      <c r="P186" s="13" t="n">
        <v>1012</v>
      </c>
      <c r="Q186" s="13" t="n">
        <v>184</v>
      </c>
      <c r="R186" s="13" t="n">
        <v>26.8</v>
      </c>
      <c r="S186" s="13" t="n">
        <v>30.3</v>
      </c>
      <c r="T186" s="13" t="n">
        <v>261</v>
      </c>
      <c r="U186" s="13" t="n">
        <v>24.5</v>
      </c>
      <c r="V186" s="13" t="n">
        <v>26.1</v>
      </c>
      <c r="W186" s="13" t="n">
        <v>492</v>
      </c>
      <c r="X186" s="13" t="n">
        <v>36</v>
      </c>
      <c r="Y186" s="13" t="n">
        <v>7.3</v>
      </c>
      <c r="Z186" s="13" t="n">
        <v>51</v>
      </c>
      <c r="AA186" s="13" t="n">
        <v>1.34</v>
      </c>
      <c r="AB186" s="13" t="n">
        <v>14.2</v>
      </c>
      <c r="AX186">
        <f>VLOOKUP(A186,Helpers!$F$4:$G$32,2,0)</f>
        <v/>
      </c>
      <c r="AY186">
        <f>IF(IF(COUNTIF(BJ$179:BJ$198,BJ186)&gt;1,TRUE, FALSE),"T"&amp;BJ186,BJ186)</f>
        <v/>
      </c>
      <c r="AZ186">
        <f>IF(IF(COUNTIF(BK$179:BK$198,BK186)&gt;1,TRUE, FALSE),"T"&amp;BK186,BK186)</f>
        <v/>
      </c>
      <c r="BA186">
        <f>IF(IF(COUNTIF(BL$179:BL$198,BL186)&gt;1,TRUE, FALSE),"T"&amp;BL186,BL186)</f>
        <v/>
      </c>
      <c r="BB186">
        <f>IF(IF(COUNTIF(BM$179:BM$198,BM186)&gt;1,TRUE, FALSE),"T"&amp;BM186,BM186)</f>
        <v/>
      </c>
      <c r="BF186">
        <f>I186/C186</f>
        <v/>
      </c>
      <c r="BJ186">
        <f>RANK(BF186,BF$179:BF$198,1)</f>
        <v/>
      </c>
      <c r="BK186">
        <f>RANK(K186,K$179:K$198)</f>
        <v/>
      </c>
      <c r="BL186">
        <f>RANK(P186,P$179:P$198)</f>
        <v/>
      </c>
      <c r="BM186">
        <f>RANK(U186,U$179:U$198)</f>
        <v/>
      </c>
    </row>
    <row r="187">
      <c r="A187" s="3" t="inlineStr">
        <is>
          <t>vs Southampton</t>
        </is>
      </c>
      <c r="B187" s="13" t="n">
        <v>3</v>
      </c>
      <c r="C187" s="13" t="n">
        <v>38</v>
      </c>
      <c r="D187" s="13" t="n">
        <v>26</v>
      </c>
      <c r="E187" s="13" t="n">
        <v>0</v>
      </c>
      <c r="F187" s="13" t="n">
        <v>0</v>
      </c>
      <c r="G187" s="13" t="n">
        <v>2</v>
      </c>
      <c r="H187" s="13" t="n">
        <v>1</v>
      </c>
      <c r="I187" s="13" t="n">
        <v>29.8</v>
      </c>
      <c r="J187" s="13" t="n">
        <v>0.27</v>
      </c>
      <c r="K187" s="13" t="n">
        <v>4.8</v>
      </c>
      <c r="L187" s="13" t="n">
        <v>0.13</v>
      </c>
      <c r="M187" s="13" t="n">
        <v>103</v>
      </c>
      <c r="N187" s="13" t="n">
        <v>356</v>
      </c>
      <c r="O187" s="13" t="n">
        <v>28.9</v>
      </c>
      <c r="P187" s="13" t="n">
        <v>989</v>
      </c>
      <c r="Q187" s="13" t="n">
        <v>129</v>
      </c>
      <c r="R187" s="13" t="n">
        <v>30.2</v>
      </c>
      <c r="S187" s="13" t="n">
        <v>32.1</v>
      </c>
      <c r="T187" s="13" t="n">
        <v>176</v>
      </c>
      <c r="U187" s="13" t="n">
        <v>32.4</v>
      </c>
      <c r="V187" s="13" t="n">
        <v>29.8</v>
      </c>
      <c r="W187" s="13" t="n">
        <v>443</v>
      </c>
      <c r="X187" s="13" t="n">
        <v>35</v>
      </c>
      <c r="Y187" s="13" t="n">
        <v>7.9</v>
      </c>
      <c r="Z187" s="13" t="n">
        <v>37</v>
      </c>
      <c r="AA187" s="13" t="n">
        <v>0.97</v>
      </c>
      <c r="AB187" s="13" t="n">
        <v>15.4</v>
      </c>
      <c r="AX187">
        <f>VLOOKUP(A187,Helpers!$F$4:$G$32,2,0)</f>
        <v/>
      </c>
      <c r="AY187">
        <f>IF(IF(COUNTIF(BJ$179:BJ$198,BJ187)&gt;1,TRUE, FALSE),"T"&amp;BJ187,BJ187)</f>
        <v/>
      </c>
      <c r="AZ187">
        <f>IF(IF(COUNTIF(BK$179:BK$198,BK187)&gt;1,TRUE, FALSE),"T"&amp;BK187,BK187)</f>
        <v/>
      </c>
      <c r="BA187">
        <f>IF(IF(COUNTIF(BL$179:BL$198,BL187)&gt;1,TRUE, FALSE),"T"&amp;BL187,BL187)</f>
        <v/>
      </c>
      <c r="BB187">
        <f>IF(IF(COUNTIF(BM$179:BM$198,BM187)&gt;1,TRUE, FALSE),"T"&amp;BM187,BM187)</f>
        <v/>
      </c>
      <c r="BF187">
        <f>I187/C187</f>
        <v/>
      </c>
      <c r="BJ187">
        <f>RANK(BF187,BF$179:BF$198,1)</f>
        <v/>
      </c>
      <c r="BK187">
        <f>RANK(K187,K$179:K$198)</f>
        <v/>
      </c>
      <c r="BL187">
        <f>RANK(P187,P$179:P$198)</f>
        <v/>
      </c>
      <c r="BM187">
        <f>RANK(U187,U$179:U$198)</f>
        <v/>
      </c>
    </row>
    <row r="188">
      <c r="A188" s="3" t="inlineStr">
        <is>
          <t>vs Tottenham</t>
        </is>
      </c>
      <c r="B188" s="13" t="n">
        <v>4</v>
      </c>
      <c r="C188" s="13" t="n">
        <v>38</v>
      </c>
      <c r="D188" s="13" t="n">
        <v>64</v>
      </c>
      <c r="E188" s="13" t="n">
        <v>3</v>
      </c>
      <c r="F188" s="13" t="n">
        <v>1</v>
      </c>
      <c r="G188" s="13" t="n">
        <v>9</v>
      </c>
      <c r="H188" s="13" t="n">
        <v>3</v>
      </c>
      <c r="I188" s="13" t="n">
        <v>57.8</v>
      </c>
      <c r="J188" s="13" t="n">
        <v>0.31</v>
      </c>
      <c r="K188" s="13" t="n">
        <v>-3.2</v>
      </c>
      <c r="L188" s="13" t="n">
        <v>-0.08</v>
      </c>
      <c r="M188" s="13" t="n">
        <v>214</v>
      </c>
      <c r="N188" s="13" t="n">
        <v>616</v>
      </c>
      <c r="O188" s="13" t="n">
        <v>34.7</v>
      </c>
      <c r="P188" s="13" t="n">
        <v>1007</v>
      </c>
      <c r="Q188" s="13" t="n">
        <v>149</v>
      </c>
      <c r="R188" s="13" t="n">
        <v>45.3</v>
      </c>
      <c r="S188" s="13" t="n">
        <v>37.6</v>
      </c>
      <c r="T188" s="13" t="n">
        <v>271</v>
      </c>
      <c r="U188" s="13" t="n">
        <v>59</v>
      </c>
      <c r="V188" s="13" t="n">
        <v>44.4</v>
      </c>
      <c r="W188" s="13" t="n">
        <v>576</v>
      </c>
      <c r="X188" s="13" t="n">
        <v>34</v>
      </c>
      <c r="Y188" s="13" t="n">
        <v>5.9</v>
      </c>
      <c r="Z188" s="13" t="n">
        <v>28</v>
      </c>
      <c r="AA188" s="13" t="n">
        <v>0.74</v>
      </c>
      <c r="AB188" s="13" t="n">
        <v>12.1</v>
      </c>
      <c r="AX188">
        <f>VLOOKUP(A188,Helpers!$F$4:$G$32,2,0)</f>
        <v/>
      </c>
      <c r="AY188">
        <f>IF(IF(COUNTIF(BJ$179:BJ$198,BJ188)&gt;1,TRUE, FALSE),"T"&amp;BJ188,BJ188)</f>
        <v/>
      </c>
      <c r="AZ188">
        <f>IF(IF(COUNTIF(BK$179:BK$198,BK188)&gt;1,TRUE, FALSE),"T"&amp;BK188,BK188)</f>
        <v/>
      </c>
      <c r="BA188">
        <f>IF(IF(COUNTIF(BL$179:BL$198,BL188)&gt;1,TRUE, FALSE),"T"&amp;BL188,BL188)</f>
        <v/>
      </c>
      <c r="BB188">
        <f>IF(IF(COUNTIF(BM$179:BM$198,BM188)&gt;1,TRUE, FALSE),"T"&amp;BM188,BM188)</f>
        <v/>
      </c>
      <c r="BF188">
        <f>I188/C188</f>
        <v/>
      </c>
      <c r="BJ188">
        <f>RANK(BF188,BF$179:BF$198,1)</f>
        <v/>
      </c>
      <c r="BK188">
        <f>RANK(K188,K$179:K$198)</f>
        <v/>
      </c>
      <c r="BL188">
        <f>RANK(P188,P$179:P$198)</f>
        <v/>
      </c>
      <c r="BM188">
        <f>RANK(U188,U$179:U$198)</f>
        <v/>
      </c>
    </row>
    <row r="189" ht="15.75" customHeight="1" s="43">
      <c r="A189" s="3" t="inlineStr">
        <is>
          <t>vs West Ham</t>
        </is>
      </c>
      <c r="B189" s="13" t="n">
        <v>2</v>
      </c>
      <c r="C189" s="13" t="n">
        <v>38</v>
      </c>
      <c r="D189" s="13" t="n">
        <v>46</v>
      </c>
      <c r="E189" s="13" t="n">
        <v>3</v>
      </c>
      <c r="F189" s="13" t="n">
        <v>1</v>
      </c>
      <c r="G189" s="13" t="n">
        <v>5</v>
      </c>
      <c r="H189" s="13" t="n">
        <v>3</v>
      </c>
      <c r="I189" s="13" t="n">
        <v>43.7</v>
      </c>
      <c r="J189" s="13" t="n">
        <v>0.3</v>
      </c>
      <c r="K189" s="13" t="n">
        <v>0.7</v>
      </c>
      <c r="L189" s="13" t="n">
        <v>0.02</v>
      </c>
      <c r="M189" s="13" t="n">
        <v>164</v>
      </c>
      <c r="N189" s="13" t="n">
        <v>494</v>
      </c>
      <c r="O189" s="13" t="n">
        <v>33.2</v>
      </c>
      <c r="P189" s="13" t="n">
        <v>1101</v>
      </c>
      <c r="Q189" s="13" t="n">
        <v>146</v>
      </c>
      <c r="R189" s="13" t="n">
        <v>36.4</v>
      </c>
      <c r="S189" s="13" t="n">
        <v>34.1</v>
      </c>
      <c r="T189" s="13" t="n">
        <v>239</v>
      </c>
      <c r="U189" s="13" t="n">
        <v>38.9</v>
      </c>
      <c r="V189" s="13" t="n">
        <v>33.2</v>
      </c>
      <c r="W189" s="13" t="n">
        <v>454</v>
      </c>
      <c r="X189" s="13" t="n">
        <v>35</v>
      </c>
      <c r="Y189" s="13" t="n">
        <v>7.7</v>
      </c>
      <c r="Z189" s="13" t="n">
        <v>39</v>
      </c>
      <c r="AA189" s="13" t="n">
        <v>1.03</v>
      </c>
      <c r="AB189" s="13" t="n">
        <v>14.1</v>
      </c>
      <c r="AX189">
        <f>VLOOKUP(A189,Helpers!$F$4:$G$32,2,0)</f>
        <v/>
      </c>
      <c r="AY189">
        <f>IF(IF(COUNTIF(BJ$179:BJ$198,BJ189)&gt;1,TRUE, FALSE),"T"&amp;BJ189,BJ189)</f>
        <v/>
      </c>
      <c r="AZ189">
        <f>IF(IF(COUNTIF(BK$179:BK$198,BK189)&gt;1,TRUE, FALSE),"T"&amp;BK189,BK189)</f>
        <v/>
      </c>
      <c r="BA189">
        <f>IF(IF(COUNTIF(BL$179:BL$198,BL189)&gt;1,TRUE, FALSE),"T"&amp;BL189,BL189)</f>
        <v/>
      </c>
      <c r="BB189">
        <f>IF(IF(COUNTIF(BM$179:BM$198,BM189)&gt;1,TRUE, FALSE),"T"&amp;BM189,BM189)</f>
        <v/>
      </c>
      <c r="BF189">
        <f>I189/C189</f>
        <v/>
      </c>
      <c r="BJ189">
        <f>RANK(BF189,BF$179:BF$198,1)</f>
        <v/>
      </c>
      <c r="BK189">
        <f>RANK(K189,K$179:K$198)</f>
        <v/>
      </c>
      <c r="BL189">
        <f>RANK(P189,P$179:P$198)</f>
        <v/>
      </c>
      <c r="BM189">
        <f>RANK(U189,U$179:U$198)</f>
        <v/>
      </c>
    </row>
    <row r="190">
      <c r="A190" s="3" t="inlineStr">
        <is>
          <t>vs Wolves</t>
        </is>
      </c>
      <c r="B190" s="13" t="n">
        <v>4</v>
      </c>
      <c r="C190" s="13" t="n">
        <v>38</v>
      </c>
      <c r="D190" s="13" t="n">
        <v>54</v>
      </c>
      <c r="E190" s="13" t="n">
        <v>0</v>
      </c>
      <c r="F190" s="13" t="n">
        <v>1</v>
      </c>
      <c r="G190" s="13" t="n">
        <v>5</v>
      </c>
      <c r="H190" s="13" t="n">
        <v>1</v>
      </c>
      <c r="I190" s="13" t="n">
        <v>45.1</v>
      </c>
      <c r="J190" s="13" t="n">
        <v>0.29</v>
      </c>
      <c r="K190" s="13" t="n">
        <v>-7.9</v>
      </c>
      <c r="L190" s="13" t="n">
        <v>-0.21</v>
      </c>
      <c r="M190" s="13" t="n">
        <v>140</v>
      </c>
      <c r="N190" s="13" t="n">
        <v>421</v>
      </c>
      <c r="O190" s="13" t="n">
        <v>33.3</v>
      </c>
      <c r="P190" s="13" t="n">
        <v>1085</v>
      </c>
      <c r="Q190" s="13" t="n">
        <v>170</v>
      </c>
      <c r="R190" s="13" t="n">
        <v>30.9</v>
      </c>
      <c r="S190" s="13" t="n">
        <v>32.9</v>
      </c>
      <c r="T190" s="13" t="n">
        <v>260</v>
      </c>
      <c r="U190" s="13" t="n">
        <v>33.1</v>
      </c>
      <c r="V190" s="13" t="n">
        <v>30.6</v>
      </c>
      <c r="W190" s="13" t="n">
        <v>428</v>
      </c>
      <c r="X190" s="13" t="n">
        <v>28</v>
      </c>
      <c r="Y190" s="13" t="n">
        <v>6.5</v>
      </c>
      <c r="Z190" s="13" t="n">
        <v>52</v>
      </c>
      <c r="AA190" s="13" t="n">
        <v>1.37</v>
      </c>
      <c r="AB190" s="13" t="n">
        <v>15.4</v>
      </c>
      <c r="AX190">
        <f>VLOOKUP(A190,Helpers!$F$4:$G$32,2,0)</f>
        <v/>
      </c>
      <c r="AY190">
        <f>IF(IF(COUNTIF(BJ$179:BJ$198,BJ190)&gt;1,TRUE, FALSE),"T"&amp;BJ190,BJ190)</f>
        <v/>
      </c>
      <c r="AZ190">
        <f>IF(IF(COUNTIF(BK$179:BK$198,BK190)&gt;1,TRUE, FALSE),"T"&amp;BK190,BK190)</f>
        <v/>
      </c>
      <c r="BA190">
        <f>IF(IF(COUNTIF(BL$179:BL$198,BL190)&gt;1,TRUE, FALSE),"T"&amp;BL190,BL190)</f>
        <v/>
      </c>
      <c r="BB190">
        <f>IF(IF(COUNTIF(BM$179:BM$198,BM190)&gt;1,TRUE, FALSE),"T"&amp;BM190,BM190)</f>
        <v/>
      </c>
      <c r="BF190">
        <f>I190/C190</f>
        <v/>
      </c>
      <c r="BJ190">
        <f>RANK(BF190,BF$179:BF$198,1)</f>
        <v/>
      </c>
      <c r="BK190">
        <f>RANK(K190,K$179:K$198)</f>
        <v/>
      </c>
      <c r="BL190">
        <f>RANK(P190,P$179:P$198)</f>
        <v/>
      </c>
      <c r="BM190">
        <f>RANK(U190,U$179:U$198)</f>
        <v/>
      </c>
    </row>
    <row r="191">
      <c r="AX191">
        <f>VLOOKUP(A191,Helpers!$F$4:$G$32,2,0)</f>
        <v/>
      </c>
      <c r="AY191">
        <f>IF(IF(COUNTIF(BJ$179:BJ$198,BJ191)&gt;1,TRUE, FALSE),"T"&amp;BJ191,BJ191)</f>
        <v/>
      </c>
      <c r="AZ191">
        <f>IF(IF(COUNTIF(BK$179:BK$198,BK191)&gt;1,TRUE, FALSE),"T"&amp;BK191,BK191)</f>
        <v/>
      </c>
      <c r="BA191">
        <f>IF(IF(COUNTIF(BL$179:BL$198,BL191)&gt;1,TRUE, FALSE),"T"&amp;BL191,BL191)</f>
        <v/>
      </c>
      <c r="BB191">
        <f>IF(IF(COUNTIF(BM$179:BM$198,BM191)&gt;1,TRUE, FALSE),"T"&amp;BM191,BM191)</f>
        <v/>
      </c>
      <c r="BF191">
        <f>I191/C191</f>
        <v/>
      </c>
      <c r="BJ191">
        <f>RANK(BF191,BF$179:BF$198,1)</f>
        <v/>
      </c>
      <c r="BK191">
        <f>RANK(K191,K$179:K$198)</f>
        <v/>
      </c>
      <c r="BL191">
        <f>RANK(P191,P$179:P$198)</f>
        <v/>
      </c>
      <c r="BM191">
        <f>RANK(U191,U$179:U$198)</f>
        <v/>
      </c>
    </row>
    <row r="192">
      <c r="A192" s="45" t="inlineStr">
        <is>
          <t>Squad Shooting 2024-2025 Premier League Table</t>
        </is>
      </c>
      <c r="AX192">
        <f>VLOOKUP(A192,Helpers!$F$4:$G$32,2,0)</f>
        <v/>
      </c>
      <c r="AY192">
        <f>IF(IF(COUNTIF(BJ$179:BJ$198,BJ192)&gt;1,TRUE, FALSE),"T"&amp;BJ192,BJ192)</f>
        <v/>
      </c>
      <c r="AZ192">
        <f>IF(IF(COUNTIF(BK$179:BK$198,BK192)&gt;1,TRUE, FALSE),"T"&amp;BK192,BK192)</f>
        <v/>
      </c>
      <c r="BA192">
        <f>IF(IF(COUNTIF(BL$179:BL$198,BL192)&gt;1,TRUE, FALSE),"T"&amp;BL192,BL192)</f>
        <v/>
      </c>
      <c r="BB192">
        <f>IF(IF(COUNTIF(BM$179:BM$198,BM192)&gt;1,TRUE, FALSE),"T"&amp;BM192,BM192)</f>
        <v/>
      </c>
      <c r="BF192">
        <f>I192/C192</f>
        <v/>
      </c>
      <c r="BJ192">
        <f>RANK(BF192,BF$179:BF$198,1)</f>
        <v/>
      </c>
      <c r="BK192">
        <f>RANK(K192,K$179:K$198)</f>
        <v/>
      </c>
      <c r="BL192">
        <f>RANK(P192,P$179:P$198)</f>
        <v/>
      </c>
      <c r="BM192">
        <f>RANK(U192,U$179:U$198)</f>
        <v/>
      </c>
    </row>
    <row r="193" ht="17.1" customHeight="1" s="43">
      <c r="A193" s="44" t="n"/>
      <c r="D193" s="44" t="inlineStr">
        <is>
          <t>Standard</t>
        </is>
      </c>
      <c r="P193" s="44" t="inlineStr">
        <is>
          <t>Expected</t>
        </is>
      </c>
      <c r="AX193">
        <f>VLOOKUP(A193,Helpers!$F$4:$G$32,2,0)</f>
        <v/>
      </c>
      <c r="AY193">
        <f>IF(IF(COUNTIF(BJ$179:BJ$198,BJ193)&gt;1,TRUE, FALSE),"T"&amp;BJ193,BJ193)</f>
        <v/>
      </c>
      <c r="AZ193">
        <f>IF(IF(COUNTIF(BK$179:BK$198,BK193)&gt;1,TRUE, FALSE),"T"&amp;BK193,BK193)</f>
        <v/>
      </c>
      <c r="BA193">
        <f>IF(IF(COUNTIF(BL$179:BL$198,BL193)&gt;1,TRUE, FALSE),"T"&amp;BL193,BL193)</f>
        <v/>
      </c>
      <c r="BB193">
        <f>IF(IF(COUNTIF(BM$179:BM$198,BM193)&gt;1,TRUE, FALSE),"T"&amp;BM193,BM193)</f>
        <v/>
      </c>
      <c r="BF193">
        <f>I193/C193</f>
        <v/>
      </c>
      <c r="BJ193">
        <f>RANK(BF193,BF$179:BF$198,1)</f>
        <v/>
      </c>
      <c r="BK193">
        <f>RANK(K193,K$179:K$198)</f>
        <v/>
      </c>
      <c r="BL193">
        <f>RANK(P193,P$179:P$198)</f>
        <v/>
      </c>
      <c r="BM193">
        <f>RANK(U193,U$179:U$198)</f>
        <v/>
      </c>
    </row>
    <row r="194">
      <c r="A194" s="44" t="inlineStr">
        <is>
          <t>Squad</t>
        </is>
      </c>
      <c r="B194" s="44" t="inlineStr">
        <is>
          <t># Pl</t>
        </is>
      </c>
      <c r="C194" s="44" t="inlineStr">
        <is>
          <t>90s</t>
        </is>
      </c>
      <c r="D194" s="44" t="inlineStr">
        <is>
          <t>Gls</t>
        </is>
      </c>
      <c r="E194" s="44" t="inlineStr">
        <is>
          <t>Sh</t>
        </is>
      </c>
      <c r="F194" s="44" t="inlineStr">
        <is>
          <t>SoT</t>
        </is>
      </c>
      <c r="G194" s="44" t="inlineStr">
        <is>
          <t>SoT%</t>
        </is>
      </c>
      <c r="H194" s="44" t="inlineStr">
        <is>
          <t>Sh/90</t>
        </is>
      </c>
      <c r="I194" s="44" t="inlineStr">
        <is>
          <t>SoT/90</t>
        </is>
      </c>
      <c r="J194" s="44" t="inlineStr">
        <is>
          <t>G/Sh</t>
        </is>
      </c>
      <c r="K194" s="44" t="inlineStr">
        <is>
          <t>G/SoT</t>
        </is>
      </c>
      <c r="L194" s="44" t="inlineStr">
        <is>
          <t>Dist</t>
        </is>
      </c>
      <c r="M194" s="44" t="inlineStr">
        <is>
          <t>FK</t>
        </is>
      </c>
      <c r="N194" s="44" t="inlineStr">
        <is>
          <t>PK</t>
        </is>
      </c>
      <c r="O194" s="44" t="inlineStr">
        <is>
          <t>PKatt</t>
        </is>
      </c>
      <c r="P194" s="44" t="inlineStr">
        <is>
          <t>xG</t>
        </is>
      </c>
      <c r="Q194" s="44" t="inlineStr">
        <is>
          <t>npxG</t>
        </is>
      </c>
      <c r="R194" s="44" t="inlineStr">
        <is>
          <t>npxG/Sh</t>
        </is>
      </c>
      <c r="S194" s="44" t="inlineStr">
        <is>
          <t>G-xG</t>
        </is>
      </c>
      <c r="T194" s="44" t="inlineStr">
        <is>
          <t>np:G-xG</t>
        </is>
      </c>
      <c r="AX194">
        <f>VLOOKUP(A194,Helpers!$F$4:$G$32,2,0)</f>
        <v/>
      </c>
      <c r="AY194">
        <f>IF(IF(COUNTIF(BJ$179:BJ$198,BJ194)&gt;1,TRUE, FALSE),"T"&amp;BJ194,BJ194)</f>
        <v/>
      </c>
      <c r="AZ194">
        <f>IF(IF(COUNTIF(BK$179:BK$198,BK194)&gt;1,TRUE, FALSE),"T"&amp;BK194,BK194)</f>
        <v/>
      </c>
      <c r="BA194">
        <f>IF(IF(COUNTIF(BL$179:BL$198,BL194)&gt;1,TRUE, FALSE),"T"&amp;BL194,BL194)</f>
        <v/>
      </c>
      <c r="BB194">
        <f>IF(IF(COUNTIF(BM$179:BM$198,BM194)&gt;1,TRUE, FALSE),"T"&amp;BM194,BM194)</f>
        <v/>
      </c>
      <c r="BF194">
        <f>I194/C194</f>
        <v/>
      </c>
      <c r="BJ194">
        <f>RANK(BF194,BF$179:BF$198,1)</f>
        <v/>
      </c>
      <c r="BK194">
        <f>RANK(K194,K$179:K$198)</f>
        <v/>
      </c>
      <c r="BL194">
        <f>RANK(P194,P$179:P$198)</f>
        <v/>
      </c>
      <c r="BM194">
        <f>RANK(U194,U$179:U$198)</f>
        <v/>
      </c>
    </row>
    <row r="195">
      <c r="A195" s="3" t="inlineStr">
        <is>
          <t>Arsenal</t>
        </is>
      </c>
      <c r="B195" s="13" t="n">
        <v>25</v>
      </c>
      <c r="C195" s="13" t="n">
        <v>38</v>
      </c>
      <c r="D195" s="13" t="n">
        <v>67</v>
      </c>
      <c r="E195" s="13" t="n">
        <v>544</v>
      </c>
      <c r="F195" s="13" t="n">
        <v>178</v>
      </c>
      <c r="G195" s="13" t="n">
        <v>32.7</v>
      </c>
      <c r="H195" s="13" t="n">
        <v>14.32</v>
      </c>
      <c r="I195" s="13" t="n">
        <v>4.68</v>
      </c>
      <c r="J195" s="13" t="n">
        <v>0.12</v>
      </c>
      <c r="K195" s="13" t="n">
        <v>0.37</v>
      </c>
      <c r="L195" s="13" t="n">
        <v>15.1</v>
      </c>
      <c r="M195" s="13" t="n">
        <v>10</v>
      </c>
      <c r="N195" s="13" t="n">
        <v>2</v>
      </c>
      <c r="O195" s="13" t="n">
        <v>2</v>
      </c>
      <c r="P195" s="13" t="n">
        <v>59.9</v>
      </c>
      <c r="Q195" s="13" t="n">
        <v>58.4</v>
      </c>
      <c r="R195" s="13" t="n">
        <v>0.11</v>
      </c>
      <c r="S195" s="13" t="n">
        <v>7.1</v>
      </c>
      <c r="T195" s="13" t="n">
        <v>6.6</v>
      </c>
      <c r="AX195">
        <f>VLOOKUP(A195,Helpers!$F$4:$G$32,2,0)</f>
        <v/>
      </c>
      <c r="AY195">
        <f>IF(IF(COUNTIF(BJ$179:BJ$198,BJ195)&gt;1,TRUE, FALSE),"T"&amp;BJ195,BJ195)</f>
        <v/>
      </c>
      <c r="AZ195">
        <f>IF(IF(COUNTIF(BK$179:BK$198,BK195)&gt;1,TRUE, FALSE),"T"&amp;BK195,BK195)</f>
        <v/>
      </c>
      <c r="BA195">
        <f>IF(IF(COUNTIF(BL$179:BL$198,BL195)&gt;1,TRUE, FALSE),"T"&amp;BL195,BL195)</f>
        <v/>
      </c>
      <c r="BB195">
        <f>IF(IF(COUNTIF(BM$179:BM$198,BM195)&gt;1,TRUE, FALSE),"T"&amp;BM195,BM195)</f>
        <v/>
      </c>
      <c r="BF195">
        <f>I195/C195</f>
        <v/>
      </c>
      <c r="BJ195">
        <f>RANK(BF195,BF$179:BF$198,1)</f>
        <v/>
      </c>
      <c r="BK195">
        <f>RANK(K195,K$179:K$198)</f>
        <v/>
      </c>
      <c r="BL195">
        <f>RANK(P195,P$179:P$198)</f>
        <v/>
      </c>
      <c r="BM195">
        <f>RANK(U195,U$179:U$198)</f>
        <v/>
      </c>
    </row>
    <row r="196">
      <c r="A196" s="3" t="inlineStr">
        <is>
          <t>Aston Villa</t>
        </is>
      </c>
      <c r="B196" s="13" t="n">
        <v>28</v>
      </c>
      <c r="C196" s="13" t="n">
        <v>38</v>
      </c>
      <c r="D196" s="13" t="n">
        <v>56</v>
      </c>
      <c r="E196" s="13" t="n">
        <v>478</v>
      </c>
      <c r="F196" s="13" t="n">
        <v>159</v>
      </c>
      <c r="G196" s="13" t="n">
        <v>33.3</v>
      </c>
      <c r="H196" s="13" t="n">
        <v>12.58</v>
      </c>
      <c r="I196" s="13" t="n">
        <v>4.18</v>
      </c>
      <c r="J196" s="13" t="n">
        <v>0.11</v>
      </c>
      <c r="K196" s="13" t="n">
        <v>0.33</v>
      </c>
      <c r="L196" s="13" t="n">
        <v>16.3</v>
      </c>
      <c r="M196" s="13" t="n">
        <v>12</v>
      </c>
      <c r="N196" s="13" t="n">
        <v>3</v>
      </c>
      <c r="O196" s="13" t="n">
        <v>6</v>
      </c>
      <c r="P196" s="13" t="n">
        <v>56.1</v>
      </c>
      <c r="Q196" s="13" t="n">
        <v>51.3</v>
      </c>
      <c r="R196" s="13" t="n">
        <v>0.11</v>
      </c>
      <c r="S196" s="13" t="n">
        <v>-0.1</v>
      </c>
      <c r="T196" s="13" t="n">
        <v>1.7</v>
      </c>
      <c r="AX196">
        <f>VLOOKUP(A196,Helpers!$F$4:$G$32,2,0)</f>
        <v/>
      </c>
      <c r="AY196">
        <f>IF(IF(COUNTIF(BJ$179:BJ$198,BJ196)&gt;1,TRUE, FALSE),"T"&amp;BJ196,BJ196)</f>
        <v/>
      </c>
      <c r="AZ196">
        <f>IF(IF(COUNTIF(BK$179:BK$198,BK196)&gt;1,TRUE, FALSE),"T"&amp;BK196,BK196)</f>
        <v/>
      </c>
      <c r="BA196">
        <f>IF(IF(COUNTIF(BL$179:BL$198,BL196)&gt;1,TRUE, FALSE),"T"&amp;BL196,BL196)</f>
        <v/>
      </c>
      <c r="BB196">
        <f>IF(IF(COUNTIF(BM$179:BM$198,BM196)&gt;1,TRUE, FALSE),"T"&amp;BM196,BM196)</f>
        <v/>
      </c>
      <c r="BF196">
        <f>I196/C196</f>
        <v/>
      </c>
      <c r="BJ196">
        <f>RANK(BF196,BF$179:BF$198,1)</f>
        <v/>
      </c>
      <c r="BK196">
        <f>RANK(K196,K$179:K$198)</f>
        <v/>
      </c>
      <c r="BL196">
        <f>RANK(P196,P$179:P$198)</f>
        <v/>
      </c>
      <c r="BM196">
        <f>RANK(U196,U$179:U$198)</f>
        <v/>
      </c>
    </row>
    <row r="197">
      <c r="A197" s="3" t="inlineStr">
        <is>
          <t>Bournemouth</t>
        </is>
      </c>
      <c r="B197" s="13" t="n">
        <v>29</v>
      </c>
      <c r="C197" s="13" t="n">
        <v>38</v>
      </c>
      <c r="D197" s="13" t="n">
        <v>57</v>
      </c>
      <c r="E197" s="13" t="n">
        <v>574</v>
      </c>
      <c r="F197" s="13" t="n">
        <v>192</v>
      </c>
      <c r="G197" s="13" t="n">
        <v>33.4</v>
      </c>
      <c r="H197" s="13" t="n">
        <v>15.11</v>
      </c>
      <c r="I197" s="13" t="n">
        <v>5.05</v>
      </c>
      <c r="J197" s="13" t="n">
        <v>0.09</v>
      </c>
      <c r="K197" s="13" t="n">
        <v>0.27</v>
      </c>
      <c r="L197" s="13" t="n">
        <v>16.7</v>
      </c>
      <c r="M197" s="13" t="n">
        <v>10</v>
      </c>
      <c r="N197" s="13" t="n">
        <v>6</v>
      </c>
      <c r="O197" s="13" t="n">
        <v>7</v>
      </c>
      <c r="P197" s="13" t="n">
        <v>64</v>
      </c>
      <c r="Q197" s="13" t="n">
        <v>58.5</v>
      </c>
      <c r="R197" s="13" t="n">
        <v>0.1</v>
      </c>
      <c r="S197" s="13" t="n">
        <v>-7</v>
      </c>
      <c r="T197" s="13" t="n">
        <v>-7.5</v>
      </c>
      <c r="AX197">
        <f>VLOOKUP(A197,Helpers!$F$4:$G$32,2,0)</f>
        <v/>
      </c>
      <c r="AY197">
        <f>IF(IF(COUNTIF(BJ$179:BJ$198,BJ197)&gt;1,TRUE, FALSE),"T"&amp;BJ197,BJ197)</f>
        <v/>
      </c>
      <c r="AZ197">
        <f>IF(IF(COUNTIF(BK$179:BK$198,BK197)&gt;1,TRUE, FALSE),"T"&amp;BK197,BK197)</f>
        <v/>
      </c>
      <c r="BA197">
        <f>IF(IF(COUNTIF(BL$179:BL$198,BL197)&gt;1,TRUE, FALSE),"T"&amp;BL197,BL197)</f>
        <v/>
      </c>
      <c r="BB197">
        <f>IF(IF(COUNTIF(BM$179:BM$198,BM197)&gt;1,TRUE, FALSE),"T"&amp;BM197,BM197)</f>
        <v/>
      </c>
      <c r="BF197">
        <f>I197/C197</f>
        <v/>
      </c>
      <c r="BJ197">
        <f>RANK(BF197,BF$179:BF$198,1)</f>
        <v/>
      </c>
      <c r="BK197">
        <f>RANK(K197,K$179:K$198)</f>
        <v/>
      </c>
      <c r="BL197">
        <f>RANK(P197,P$179:P$198)</f>
        <v/>
      </c>
      <c r="BM197">
        <f>RANK(U197,U$179:U$198)</f>
        <v/>
      </c>
    </row>
    <row r="198">
      <c r="A198" s="3" t="inlineStr">
        <is>
          <t>Brentford</t>
        </is>
      </c>
      <c r="B198" s="13" t="n">
        <v>28</v>
      </c>
      <c r="C198" s="13" t="n">
        <v>38</v>
      </c>
      <c r="D198" s="13" t="n">
        <v>65</v>
      </c>
      <c r="E198" s="13" t="n">
        <v>434</v>
      </c>
      <c r="F198" s="13" t="n">
        <v>173</v>
      </c>
      <c r="G198" s="13" t="n">
        <v>39.9</v>
      </c>
      <c r="H198" s="13" t="n">
        <v>11.42</v>
      </c>
      <c r="I198" s="13" t="n">
        <v>4.55</v>
      </c>
      <c r="J198" s="13" t="n">
        <v>0.14</v>
      </c>
      <c r="K198" s="13" t="n">
        <v>0.35</v>
      </c>
      <c r="L198" s="13" t="n">
        <v>14.9</v>
      </c>
      <c r="M198" s="13" t="n">
        <v>10</v>
      </c>
      <c r="N198" s="13" t="n">
        <v>5</v>
      </c>
      <c r="O198" s="13" t="n">
        <v>6</v>
      </c>
      <c r="P198" s="13" t="n">
        <v>59</v>
      </c>
      <c r="Q198" s="13" t="n">
        <v>54.4</v>
      </c>
      <c r="R198" s="13" t="n">
        <v>0.13</v>
      </c>
      <c r="S198" s="13" t="n">
        <v>6</v>
      </c>
      <c r="T198" s="13" t="n">
        <v>5.6</v>
      </c>
      <c r="AX198">
        <f>VLOOKUP(A198,Helpers!$F$4:$G$32,2,0)</f>
        <v/>
      </c>
      <c r="AY198">
        <f>IF(IF(COUNTIF(BJ$179:BJ$198,BJ198)&gt;1,TRUE, FALSE),"T"&amp;BJ198,BJ198)</f>
        <v/>
      </c>
      <c r="AZ198">
        <f>IF(IF(COUNTIF(BK$179:BK$198,BK198)&gt;1,TRUE, FALSE),"T"&amp;BK198,BK198)</f>
        <v/>
      </c>
      <c r="BA198">
        <f>IF(IF(COUNTIF(BL$179:BL$198,BL198)&gt;1,TRUE, FALSE),"T"&amp;BL198,BL198)</f>
        <v/>
      </c>
      <c r="BB198">
        <f>IF(IF(COUNTIF(BM$179:BM$198,BM198)&gt;1,TRUE, FALSE),"T"&amp;BM198,BM198)</f>
        <v/>
      </c>
      <c r="BF198">
        <f>I198/C198</f>
        <v/>
      </c>
      <c r="BJ198">
        <f>RANK(BF198,BF$179:BF$198,1)</f>
        <v/>
      </c>
      <c r="BK198">
        <f>RANK(K198,K$179:K$198)</f>
        <v/>
      </c>
      <c r="BL198">
        <f>RANK(P198,P$179:P$198)</f>
        <v/>
      </c>
      <c r="BM198">
        <f>RANK(U198,U$179:U$198)</f>
        <v/>
      </c>
    </row>
    <row r="199" ht="18" customHeight="1" s="43">
      <c r="A199" s="3" t="inlineStr">
        <is>
          <t>Brighton</t>
        </is>
      </c>
      <c r="B199" s="13" t="n">
        <v>32</v>
      </c>
      <c r="C199" s="13" t="n">
        <v>38</v>
      </c>
      <c r="D199" s="13" t="n">
        <v>64</v>
      </c>
      <c r="E199" s="13" t="n">
        <v>526</v>
      </c>
      <c r="F199" s="13" t="n">
        <v>183</v>
      </c>
      <c r="G199" s="13" t="n">
        <v>34.8</v>
      </c>
      <c r="H199" s="13" t="n">
        <v>13.84</v>
      </c>
      <c r="I199" s="13" t="n">
        <v>4.82</v>
      </c>
      <c r="J199" s="13" t="n">
        <v>0.11</v>
      </c>
      <c r="K199" s="13" t="n">
        <v>0.31</v>
      </c>
      <c r="L199" s="13" t="n">
        <v>17.2</v>
      </c>
      <c r="M199" s="13" t="n">
        <v>25</v>
      </c>
      <c r="N199" s="13" t="n">
        <v>7</v>
      </c>
      <c r="O199" s="13" t="n">
        <v>7</v>
      </c>
      <c r="P199" s="13" t="n">
        <v>58.7</v>
      </c>
      <c r="Q199" s="13" t="n">
        <v>53.3</v>
      </c>
      <c r="R199" s="13" t="n">
        <v>0.1</v>
      </c>
      <c r="S199" s="13" t="n">
        <v>5.3</v>
      </c>
      <c r="T199" s="13" t="n">
        <v>3.7</v>
      </c>
    </row>
    <row r="200" ht="18" customHeight="1" s="43">
      <c r="A200" s="3" t="inlineStr">
        <is>
          <t>Chelsea</t>
        </is>
      </c>
      <c r="B200" s="13" t="n">
        <v>29</v>
      </c>
      <c r="C200" s="13" t="n">
        <v>38</v>
      </c>
      <c r="D200" s="13" t="n">
        <v>61</v>
      </c>
      <c r="E200" s="13" t="n">
        <v>590</v>
      </c>
      <c r="F200" s="13" t="n">
        <v>203</v>
      </c>
      <c r="G200" s="13" t="n">
        <v>34.4</v>
      </c>
      <c r="H200" s="13" t="n">
        <v>15.53</v>
      </c>
      <c r="I200" s="13" t="n">
        <v>5.34</v>
      </c>
      <c r="J200" s="13" t="n">
        <v>0.1</v>
      </c>
      <c r="K200" s="13" t="n">
        <v>0.28</v>
      </c>
      <c r="L200" s="13" t="n">
        <v>16.7</v>
      </c>
      <c r="M200" s="13" t="n">
        <v>17</v>
      </c>
      <c r="N200" s="13" t="n">
        <v>4</v>
      </c>
      <c r="O200" s="13" t="n">
        <v>5</v>
      </c>
      <c r="P200" s="13" t="n">
        <v>67.8</v>
      </c>
      <c r="Q200" s="13" t="n">
        <v>63.8</v>
      </c>
      <c r="R200" s="13" t="n">
        <v>0.11</v>
      </c>
      <c r="S200" s="13" t="n">
        <v>-6.8</v>
      </c>
      <c r="T200" s="13" t="n">
        <v>-6.8</v>
      </c>
    </row>
    <row r="201" ht="17.1" customHeight="1" s="43">
      <c r="A201" s="3" t="inlineStr">
        <is>
          <t>Crystal Palace</t>
        </is>
      </c>
      <c r="B201" s="13" t="n">
        <v>29</v>
      </c>
      <c r="C201" s="13" t="n">
        <v>38</v>
      </c>
      <c r="D201" s="13" t="n">
        <v>49</v>
      </c>
      <c r="E201" s="13" t="n">
        <v>512</v>
      </c>
      <c r="F201" s="13" t="n">
        <v>175</v>
      </c>
      <c r="G201" s="13" t="n">
        <v>34.2</v>
      </c>
      <c r="H201" s="13" t="n">
        <v>13.47</v>
      </c>
      <c r="I201" s="13" t="n">
        <v>4.61</v>
      </c>
      <c r="J201" s="13" t="n">
        <v>0.09</v>
      </c>
      <c r="K201" s="13" t="n">
        <v>0.26</v>
      </c>
      <c r="L201" s="13" t="n">
        <v>16.8</v>
      </c>
      <c r="M201" s="13" t="n">
        <v>19</v>
      </c>
      <c r="N201" s="13" t="n">
        <v>3</v>
      </c>
      <c r="O201" s="13" t="n">
        <v>4</v>
      </c>
      <c r="P201" s="13" t="n">
        <v>60.4</v>
      </c>
      <c r="Q201" s="13" t="n">
        <v>57.3</v>
      </c>
      <c r="R201" s="13" t="n">
        <v>0.11</v>
      </c>
      <c r="S201" s="13" t="n">
        <v>-11.4</v>
      </c>
      <c r="T201" s="13" t="n">
        <v>-11.3</v>
      </c>
    </row>
    <row r="202">
      <c r="A202" s="3" t="inlineStr">
        <is>
          <t>Everton</t>
        </is>
      </c>
      <c r="B202" s="13" t="n">
        <v>26</v>
      </c>
      <c r="C202" s="13" t="n">
        <v>38</v>
      </c>
      <c r="D202" s="13" t="n">
        <v>39</v>
      </c>
      <c r="E202" s="13" t="n">
        <v>404</v>
      </c>
      <c r="F202" s="13" t="n">
        <v>139</v>
      </c>
      <c r="G202" s="13" t="n">
        <v>34.4</v>
      </c>
      <c r="H202" s="13" t="n">
        <v>10.63</v>
      </c>
      <c r="I202" s="13" t="n">
        <v>3.66</v>
      </c>
      <c r="J202" s="13" t="n">
        <v>0.09</v>
      </c>
      <c r="K202" s="13" t="n">
        <v>0.27</v>
      </c>
      <c r="L202" s="13" t="n">
        <v>16.8</v>
      </c>
      <c r="M202" s="13" t="n">
        <v>11</v>
      </c>
      <c r="N202" s="13" t="n">
        <v>2</v>
      </c>
      <c r="O202" s="13" t="n">
        <v>2</v>
      </c>
      <c r="P202" s="13" t="n">
        <v>41.8</v>
      </c>
      <c r="Q202" s="13" t="n">
        <v>40.2</v>
      </c>
      <c r="R202" s="13" t="n">
        <v>0.1</v>
      </c>
      <c r="S202" s="13" t="n">
        <v>-2.8</v>
      </c>
      <c r="T202" s="13" t="n">
        <v>-3.2</v>
      </c>
    </row>
    <row r="203" ht="15.75" customHeight="1" s="43">
      <c r="A203" s="3" t="inlineStr">
        <is>
          <t>Fulham</t>
        </is>
      </c>
      <c r="B203" s="13" t="n">
        <v>26</v>
      </c>
      <c r="C203" s="13" t="n">
        <v>38</v>
      </c>
      <c r="D203" s="13" t="n">
        <v>53</v>
      </c>
      <c r="E203" s="13" t="n">
        <v>516</v>
      </c>
      <c r="F203" s="13" t="n">
        <v>167</v>
      </c>
      <c r="G203" s="13" t="n">
        <v>32.4</v>
      </c>
      <c r="H203" s="13" t="n">
        <v>13.58</v>
      </c>
      <c r="I203" s="13" t="n">
        <v>4.39</v>
      </c>
      <c r="J203" s="13" t="n">
        <v>0.1</v>
      </c>
      <c r="K203" s="13" t="n">
        <v>0.3</v>
      </c>
      <c r="L203" s="13" t="n">
        <v>16.4</v>
      </c>
      <c r="M203" s="13" t="n">
        <v>10</v>
      </c>
      <c r="N203" s="13" t="n">
        <v>3</v>
      </c>
      <c r="O203" s="13" t="n">
        <v>4</v>
      </c>
      <c r="P203" s="13" t="n">
        <v>49</v>
      </c>
      <c r="Q203" s="13" t="n">
        <v>45.9</v>
      </c>
      <c r="R203" s="13" t="n">
        <v>0.09</v>
      </c>
      <c r="S203" s="13" t="n">
        <v>4</v>
      </c>
      <c r="T203" s="13" t="n">
        <v>4.1</v>
      </c>
    </row>
    <row r="204">
      <c r="A204" s="3" t="inlineStr">
        <is>
          <t>Ipswich Town</t>
        </is>
      </c>
      <c r="B204" s="13" t="n">
        <v>32</v>
      </c>
      <c r="C204" s="13" t="n">
        <v>38</v>
      </c>
      <c r="D204" s="13" t="n">
        <v>35</v>
      </c>
      <c r="E204" s="13" t="n">
        <v>374</v>
      </c>
      <c r="F204" s="13" t="n">
        <v>120</v>
      </c>
      <c r="G204" s="13" t="n">
        <v>32.1</v>
      </c>
      <c r="H204" s="13" t="n">
        <v>9.84</v>
      </c>
      <c r="I204" s="13" t="n">
        <v>3.16</v>
      </c>
      <c r="J204" s="13" t="n">
        <v>0.09</v>
      </c>
      <c r="K204" s="13" t="n">
        <v>0.28</v>
      </c>
      <c r="L204" s="13" t="n">
        <v>17.7</v>
      </c>
      <c r="M204" s="13" t="n">
        <v>10</v>
      </c>
      <c r="N204" s="13" t="n">
        <v>2</v>
      </c>
      <c r="O204" s="13" t="n">
        <v>2</v>
      </c>
      <c r="P204" s="13" t="n">
        <v>34.4</v>
      </c>
      <c r="Q204" s="13" t="n">
        <v>32.8</v>
      </c>
      <c r="R204" s="13" t="n">
        <v>0.09</v>
      </c>
      <c r="S204" s="13" t="n">
        <v>0.6</v>
      </c>
      <c r="T204" s="13" t="n">
        <v>0.2</v>
      </c>
    </row>
    <row r="205" ht="18" customHeight="1" s="43">
      <c r="A205" s="3" t="inlineStr">
        <is>
          <t>Leicester City</t>
        </is>
      </c>
      <c r="B205" s="13" t="n">
        <v>32</v>
      </c>
      <c r="C205" s="13" t="n">
        <v>38</v>
      </c>
      <c r="D205" s="13" t="n">
        <v>33</v>
      </c>
      <c r="E205" s="13" t="n">
        <v>332</v>
      </c>
      <c r="F205" s="13" t="n">
        <v>105</v>
      </c>
      <c r="G205" s="13" t="n">
        <v>31.6</v>
      </c>
      <c r="H205" s="13" t="n">
        <v>8.74</v>
      </c>
      <c r="I205" s="13" t="n">
        <v>2.76</v>
      </c>
      <c r="J205" s="13" t="n">
        <v>0.09</v>
      </c>
      <c r="K205" s="13" t="n">
        <v>0.3</v>
      </c>
      <c r="L205" s="13" t="n">
        <v>17.3</v>
      </c>
      <c r="M205" s="13" t="n">
        <v>8</v>
      </c>
      <c r="N205" s="13" t="n">
        <v>2</v>
      </c>
      <c r="O205" s="13" t="n">
        <v>3</v>
      </c>
      <c r="P205" s="13" t="n">
        <v>32.6</v>
      </c>
      <c r="Q205" s="13" t="n">
        <v>30.4</v>
      </c>
      <c r="R205" s="13" t="n">
        <v>0.09</v>
      </c>
      <c r="S205" s="13" t="n">
        <v>0.4</v>
      </c>
      <c r="T205" s="13" t="n">
        <v>0.6</v>
      </c>
    </row>
    <row r="206" ht="17.1" customHeight="1" s="43">
      <c r="A206" s="3" t="inlineStr">
        <is>
          <t>Liverpool</t>
        </is>
      </c>
      <c r="B206" s="13" t="n">
        <v>24</v>
      </c>
      <c r="C206" s="13" t="n">
        <v>38</v>
      </c>
      <c r="D206" s="13" t="n">
        <v>85</v>
      </c>
      <c r="E206" s="13" t="n">
        <v>639</v>
      </c>
      <c r="F206" s="13" t="n">
        <v>215</v>
      </c>
      <c r="G206" s="13" t="n">
        <v>33.6</v>
      </c>
      <c r="H206" s="13" t="n">
        <v>16.82</v>
      </c>
      <c r="I206" s="13" t="n">
        <v>5.66</v>
      </c>
      <c r="J206" s="13" t="n">
        <v>0.12</v>
      </c>
      <c r="K206" s="13" t="n">
        <v>0.35</v>
      </c>
      <c r="L206" s="13" t="n">
        <v>15.9</v>
      </c>
      <c r="M206" s="13" t="n">
        <v>11</v>
      </c>
      <c r="N206" s="13" t="n">
        <v>9</v>
      </c>
      <c r="O206" s="13" t="n">
        <v>9</v>
      </c>
      <c r="P206" s="13" t="n">
        <v>82.2</v>
      </c>
      <c r="Q206" s="13" t="n">
        <v>75.2</v>
      </c>
      <c r="R206" s="13" t="n">
        <v>0.12</v>
      </c>
      <c r="S206" s="13" t="n">
        <v>2.8</v>
      </c>
      <c r="T206" s="13" t="n">
        <v>0.8</v>
      </c>
    </row>
    <row r="207">
      <c r="A207" s="3" t="inlineStr">
        <is>
          <t>Manchester City</t>
        </is>
      </c>
      <c r="B207" s="13" t="n">
        <v>30</v>
      </c>
      <c r="C207" s="13" t="n">
        <v>38</v>
      </c>
      <c r="D207" s="13" t="n">
        <v>71</v>
      </c>
      <c r="E207" s="13" t="n">
        <v>603</v>
      </c>
      <c r="F207" s="13" t="n">
        <v>208</v>
      </c>
      <c r="G207" s="13" t="n">
        <v>34.5</v>
      </c>
      <c r="H207" s="13" t="n">
        <v>15.87</v>
      </c>
      <c r="I207" s="13" t="n">
        <v>5.47</v>
      </c>
      <c r="J207" s="13" t="n">
        <v>0.11</v>
      </c>
      <c r="K207" s="13" t="n">
        <v>0.33</v>
      </c>
      <c r="L207" s="13" t="n">
        <v>16.9</v>
      </c>
      <c r="M207" s="13" t="n">
        <v>21</v>
      </c>
      <c r="N207" s="13" t="n">
        <v>3</v>
      </c>
      <c r="O207" s="13" t="n">
        <v>4</v>
      </c>
      <c r="P207" s="13" t="n">
        <v>68.09999999999999</v>
      </c>
      <c r="Q207" s="13" t="n">
        <v>64.90000000000001</v>
      </c>
      <c r="R207" s="13" t="n">
        <v>0.11</v>
      </c>
      <c r="S207" s="13" t="n">
        <v>2.9</v>
      </c>
      <c r="T207" s="13" t="n">
        <v>3.1</v>
      </c>
    </row>
    <row r="208">
      <c r="A208" s="3" t="inlineStr">
        <is>
          <t>Manchester Utd</t>
        </is>
      </c>
      <c r="B208" s="13" t="n">
        <v>31</v>
      </c>
      <c r="C208" s="13" t="n">
        <v>38</v>
      </c>
      <c r="D208" s="13" t="n">
        <v>42</v>
      </c>
      <c r="E208" s="13" t="n">
        <v>524</v>
      </c>
      <c r="F208" s="13" t="n">
        <v>168</v>
      </c>
      <c r="G208" s="13" t="n">
        <v>32.1</v>
      </c>
      <c r="H208" s="13" t="n">
        <v>13.79</v>
      </c>
      <c r="I208" s="13" t="n">
        <v>4.42</v>
      </c>
      <c r="J208" s="13" t="n">
        <v>0.07000000000000001</v>
      </c>
      <c r="K208" s="13" t="n">
        <v>0.23</v>
      </c>
      <c r="L208" s="13" t="n">
        <v>17.4</v>
      </c>
      <c r="M208" s="13" t="n">
        <v>15</v>
      </c>
      <c r="N208" s="13" t="n">
        <v>4</v>
      </c>
      <c r="O208" s="13" t="n">
        <v>4</v>
      </c>
      <c r="P208" s="13" t="n">
        <v>52.6</v>
      </c>
      <c r="Q208" s="13" t="n">
        <v>49.4</v>
      </c>
      <c r="R208" s="13" t="n">
        <v>0.1</v>
      </c>
      <c r="S208" s="13" t="n">
        <v>-10.6</v>
      </c>
      <c r="T208" s="13" t="n">
        <v>-11.4</v>
      </c>
    </row>
    <row r="209" ht="15.75" customHeight="1" s="43">
      <c r="A209" s="3" t="inlineStr">
        <is>
          <t>Newcastle Utd</t>
        </is>
      </c>
      <c r="B209" s="13" t="n">
        <v>24</v>
      </c>
      <c r="C209" s="13" t="n">
        <v>38</v>
      </c>
      <c r="D209" s="13" t="n">
        <v>66</v>
      </c>
      <c r="E209" s="13" t="n">
        <v>519</v>
      </c>
      <c r="F209" s="13" t="n">
        <v>163</v>
      </c>
      <c r="G209" s="13" t="n">
        <v>31.4</v>
      </c>
      <c r="H209" s="13" t="n">
        <v>13.66</v>
      </c>
      <c r="I209" s="13" t="n">
        <v>4.29</v>
      </c>
      <c r="J209" s="13" t="n">
        <v>0.12</v>
      </c>
      <c r="K209" s="13" t="n">
        <v>0.37</v>
      </c>
      <c r="L209" s="13" t="n">
        <v>15.9</v>
      </c>
      <c r="M209" s="13" t="n">
        <v>14</v>
      </c>
      <c r="N209" s="13" t="n">
        <v>5</v>
      </c>
      <c r="O209" s="13" t="n">
        <v>6</v>
      </c>
      <c r="P209" s="13" t="n">
        <v>63.8</v>
      </c>
      <c r="Q209" s="13" t="n">
        <v>59.5</v>
      </c>
      <c r="R209" s="13" t="n">
        <v>0.12</v>
      </c>
      <c r="S209" s="13" t="n">
        <v>2.2</v>
      </c>
      <c r="T209" s="13" t="n">
        <v>1.5</v>
      </c>
    </row>
    <row r="210">
      <c r="A210" s="3" t="inlineStr">
        <is>
          <t>Nott'ham Forest</t>
        </is>
      </c>
      <c r="B210" s="13" t="n">
        <v>23</v>
      </c>
      <c r="C210" s="13" t="n">
        <v>38</v>
      </c>
      <c r="D210" s="13" t="n">
        <v>57</v>
      </c>
      <c r="E210" s="13" t="n">
        <v>460</v>
      </c>
      <c r="F210" s="13" t="n">
        <v>162</v>
      </c>
      <c r="G210" s="13" t="n">
        <v>35.2</v>
      </c>
      <c r="H210" s="13" t="n">
        <v>12.11</v>
      </c>
      <c r="I210" s="13" t="n">
        <v>4.26</v>
      </c>
      <c r="J210" s="13" t="n">
        <v>0.12</v>
      </c>
      <c r="K210" s="13" t="n">
        <v>0.33</v>
      </c>
      <c r="L210" s="13" t="n">
        <v>17.5</v>
      </c>
      <c r="M210" s="13" t="n">
        <v>15</v>
      </c>
      <c r="N210" s="13" t="n">
        <v>3</v>
      </c>
      <c r="O210" s="13" t="n">
        <v>3</v>
      </c>
      <c r="P210" s="13" t="n">
        <v>45.5</v>
      </c>
      <c r="Q210" s="13" t="n">
        <v>43.2</v>
      </c>
      <c r="R210" s="13" t="n">
        <v>0.1</v>
      </c>
      <c r="S210" s="13" t="n">
        <v>11.5</v>
      </c>
      <c r="T210" s="13" t="n">
        <v>10.8</v>
      </c>
    </row>
    <row r="211">
      <c r="A211" s="3" t="inlineStr">
        <is>
          <t>Southampton</t>
        </is>
      </c>
      <c r="B211" s="13" t="n">
        <v>36</v>
      </c>
      <c r="C211" s="13" t="n">
        <v>38</v>
      </c>
      <c r="D211" s="13" t="n">
        <v>25</v>
      </c>
      <c r="E211" s="13" t="n">
        <v>341</v>
      </c>
      <c r="F211" s="13" t="n">
        <v>106</v>
      </c>
      <c r="G211" s="13" t="n">
        <v>31.1</v>
      </c>
      <c r="H211" s="13" t="n">
        <v>8.970000000000001</v>
      </c>
      <c r="I211" s="13" t="n">
        <v>2.79</v>
      </c>
      <c r="J211" s="13" t="n">
        <v>0.07000000000000001</v>
      </c>
      <c r="K211" s="13" t="n">
        <v>0.24</v>
      </c>
      <c r="L211" s="13" t="n">
        <v>16.3</v>
      </c>
      <c r="M211" s="13" t="n">
        <v>7</v>
      </c>
      <c r="N211" s="13" t="n">
        <v>0</v>
      </c>
      <c r="O211" s="13" t="n">
        <v>2</v>
      </c>
      <c r="P211" s="13" t="n">
        <v>32.7</v>
      </c>
      <c r="Q211" s="13" t="n">
        <v>30.9</v>
      </c>
      <c r="R211" s="13" t="n">
        <v>0.09</v>
      </c>
      <c r="S211" s="13" t="n">
        <v>-7.7</v>
      </c>
      <c r="T211" s="13" t="n">
        <v>-5.9</v>
      </c>
    </row>
    <row r="212">
      <c r="A212" s="3" t="inlineStr">
        <is>
          <t>Tottenham</t>
        </is>
      </c>
      <c r="B212" s="13" t="n">
        <v>31</v>
      </c>
      <c r="C212" s="13" t="n">
        <v>38</v>
      </c>
      <c r="D212" s="13" t="n">
        <v>61</v>
      </c>
      <c r="E212" s="13" t="n">
        <v>493</v>
      </c>
      <c r="F212" s="13" t="n">
        <v>177</v>
      </c>
      <c r="G212" s="13" t="n">
        <v>35.9</v>
      </c>
      <c r="H212" s="13" t="n">
        <v>12.97</v>
      </c>
      <c r="I212" s="13" t="n">
        <v>4.66</v>
      </c>
      <c r="J212" s="13" t="n">
        <v>0.12</v>
      </c>
      <c r="K212" s="13" t="n">
        <v>0.33</v>
      </c>
      <c r="L212" s="13" t="n">
        <v>16</v>
      </c>
      <c r="M212" s="13" t="n">
        <v>13</v>
      </c>
      <c r="N212" s="13" t="n">
        <v>3</v>
      </c>
      <c r="O212" s="13" t="n">
        <v>4</v>
      </c>
      <c r="P212" s="13" t="n">
        <v>58.8</v>
      </c>
      <c r="Q212" s="13" t="n">
        <v>55.7</v>
      </c>
      <c r="R212" s="13" t="n">
        <v>0.12</v>
      </c>
      <c r="S212" s="13" t="n">
        <v>2.2</v>
      </c>
      <c r="T212" s="13" t="n">
        <v>2.3</v>
      </c>
    </row>
    <row r="213">
      <c r="A213" s="3" t="inlineStr">
        <is>
          <t>West Ham</t>
        </is>
      </c>
      <c r="B213" s="13" t="n">
        <v>27</v>
      </c>
      <c r="C213" s="13" t="n">
        <v>38</v>
      </c>
      <c r="D213" s="13" t="n">
        <v>43</v>
      </c>
      <c r="E213" s="13" t="n">
        <v>473</v>
      </c>
      <c r="F213" s="13" t="n">
        <v>137</v>
      </c>
      <c r="G213" s="13" t="n">
        <v>29</v>
      </c>
      <c r="H213" s="13" t="n">
        <v>12.45</v>
      </c>
      <c r="I213" s="13" t="n">
        <v>3.61</v>
      </c>
      <c r="J213" s="13" t="n">
        <v>0.08</v>
      </c>
      <c r="K213" s="13" t="n">
        <v>0.29</v>
      </c>
      <c r="L213" s="13" t="n">
        <v>16.3</v>
      </c>
      <c r="M213" s="13" t="n">
        <v>14</v>
      </c>
      <c r="N213" s="13" t="n">
        <v>3</v>
      </c>
      <c r="O213" s="13" t="n">
        <v>3</v>
      </c>
      <c r="P213" s="13" t="n">
        <v>47</v>
      </c>
      <c r="Q213" s="13" t="n">
        <v>44.7</v>
      </c>
      <c r="R213" s="13" t="n">
        <v>0.1</v>
      </c>
      <c r="S213" s="13" t="n">
        <v>-4</v>
      </c>
      <c r="T213" s="13" t="n">
        <v>-4.7</v>
      </c>
    </row>
    <row r="214">
      <c r="A214" s="3" t="inlineStr">
        <is>
          <t>Wolves</t>
        </is>
      </c>
      <c r="B214" s="13" t="n">
        <v>32</v>
      </c>
      <c r="C214" s="13" t="n">
        <v>38</v>
      </c>
      <c r="D214" s="13" t="n">
        <v>53</v>
      </c>
      <c r="E214" s="13" t="n">
        <v>431</v>
      </c>
      <c r="F214" s="13" t="n">
        <v>155</v>
      </c>
      <c r="G214" s="13" t="n">
        <v>36</v>
      </c>
      <c r="H214" s="13" t="n">
        <v>11.34</v>
      </c>
      <c r="I214" s="13" t="n">
        <v>4.08</v>
      </c>
      <c r="J214" s="13" t="n">
        <v>0.12</v>
      </c>
      <c r="K214" s="13" t="n">
        <v>0.34</v>
      </c>
      <c r="L214" s="13" t="n">
        <v>18.1</v>
      </c>
      <c r="M214" s="13" t="n">
        <v>18</v>
      </c>
      <c r="N214" s="13" t="n">
        <v>0</v>
      </c>
      <c r="O214" s="13" t="n">
        <v>0</v>
      </c>
      <c r="P214" s="13" t="n">
        <v>43.7</v>
      </c>
      <c r="Q214" s="13" t="n">
        <v>43.7</v>
      </c>
      <c r="R214" s="13" t="n">
        <v>0.1</v>
      </c>
      <c r="S214" s="13" t="n">
        <v>9.300000000000001</v>
      </c>
      <c r="T214" s="13" t="n">
        <v>9.300000000000001</v>
      </c>
    </row>
    <row r="216">
      <c r="A216" s="45" t="inlineStr">
        <is>
          <t>Squad Shooting 2024-2025 Premier League Table</t>
        </is>
      </c>
    </row>
    <row r="217" ht="17.1" customHeight="1" s="43">
      <c r="A217" s="44" t="n"/>
      <c r="D217" s="44" t="inlineStr">
        <is>
          <t>Standard</t>
        </is>
      </c>
      <c r="P217" s="44" t="inlineStr">
        <is>
          <t>Expected</t>
        </is>
      </c>
    </row>
    <row r="218">
      <c r="A218" s="44" t="inlineStr">
        <is>
          <t>Squad</t>
        </is>
      </c>
      <c r="B218" s="44" t="inlineStr">
        <is>
          <t># Pl</t>
        </is>
      </c>
      <c r="C218" s="44" t="inlineStr">
        <is>
          <t>90s</t>
        </is>
      </c>
      <c r="D218" s="44" t="inlineStr">
        <is>
          <t>Gls</t>
        </is>
      </c>
      <c r="E218" s="44" t="inlineStr">
        <is>
          <t>Sh</t>
        </is>
      </c>
      <c r="F218" s="44" t="inlineStr">
        <is>
          <t>SoT</t>
        </is>
      </c>
      <c r="G218" s="44" t="inlineStr">
        <is>
          <t>SoT%</t>
        </is>
      </c>
      <c r="H218" s="44" t="inlineStr">
        <is>
          <t>Sh/90</t>
        </is>
      </c>
      <c r="I218" s="44" t="inlineStr">
        <is>
          <t>SoT/90</t>
        </is>
      </c>
      <c r="J218" s="44" t="inlineStr">
        <is>
          <t>G/Sh</t>
        </is>
      </c>
      <c r="K218" s="44" t="inlineStr">
        <is>
          <t>G/SoT</t>
        </is>
      </c>
      <c r="L218" s="44" t="inlineStr">
        <is>
          <t>Dist</t>
        </is>
      </c>
      <c r="M218" s="44" t="inlineStr">
        <is>
          <t>FK</t>
        </is>
      </c>
      <c r="N218" s="44" t="inlineStr">
        <is>
          <t>PK</t>
        </is>
      </c>
      <c r="O218" s="44" t="inlineStr">
        <is>
          <t>PKatt</t>
        </is>
      </c>
      <c r="P218" s="44" t="inlineStr">
        <is>
          <t>xG</t>
        </is>
      </c>
      <c r="Q218" s="44" t="inlineStr">
        <is>
          <t>npxG</t>
        </is>
      </c>
      <c r="R218" s="44" t="inlineStr">
        <is>
          <t>npxG/Sh</t>
        </is>
      </c>
      <c r="S218" s="44" t="inlineStr">
        <is>
          <t>G-xG</t>
        </is>
      </c>
      <c r="T218" s="44" t="inlineStr">
        <is>
          <t>np:G-xG</t>
        </is>
      </c>
    </row>
    <row r="219">
      <c r="A219" s="3" t="inlineStr">
        <is>
          <t>vs Arsenal</t>
        </is>
      </c>
      <c r="B219" s="13" t="n">
        <v>25</v>
      </c>
      <c r="C219" s="13" t="n">
        <v>38</v>
      </c>
      <c r="D219" s="13" t="n">
        <v>34</v>
      </c>
      <c r="E219" s="13" t="n">
        <v>359</v>
      </c>
      <c r="F219" s="13" t="n">
        <v>117</v>
      </c>
      <c r="G219" s="13" t="n">
        <v>32.6</v>
      </c>
      <c r="H219" s="13" t="n">
        <v>9.449999999999999</v>
      </c>
      <c r="I219" s="13" t="n">
        <v>3.08</v>
      </c>
      <c r="J219" s="13" t="n">
        <v>0.09</v>
      </c>
      <c r="K219" s="13" t="n">
        <v>0.26</v>
      </c>
      <c r="L219" s="13" t="n">
        <v>17.8</v>
      </c>
      <c r="M219" s="13" t="n">
        <v>13</v>
      </c>
      <c r="N219" s="13" t="n">
        <v>3</v>
      </c>
      <c r="O219" s="13" t="n">
        <v>3</v>
      </c>
      <c r="P219" s="13" t="n">
        <v>34.4</v>
      </c>
      <c r="Q219" s="13" t="n">
        <v>32</v>
      </c>
      <c r="R219" s="13" t="n">
        <v>0.09</v>
      </c>
      <c r="S219" s="13" t="n">
        <v>-0.4</v>
      </c>
      <c r="T219" s="13" t="n">
        <v>-1</v>
      </c>
    </row>
    <row r="220">
      <c r="A220" s="3" t="inlineStr">
        <is>
          <t>vs Aston Villa</t>
        </is>
      </c>
      <c r="B220" s="13" t="n">
        <v>28</v>
      </c>
      <c r="C220" s="13" t="n">
        <v>38</v>
      </c>
      <c r="D220" s="13" t="n">
        <v>51</v>
      </c>
      <c r="E220" s="13" t="n">
        <v>460</v>
      </c>
      <c r="F220" s="13" t="n">
        <v>153</v>
      </c>
      <c r="G220" s="13" t="n">
        <v>33.3</v>
      </c>
      <c r="H220" s="13" t="n">
        <v>12.11</v>
      </c>
      <c r="I220" s="13" t="n">
        <v>4.03</v>
      </c>
      <c r="J220" s="13" t="n">
        <v>0.11</v>
      </c>
      <c r="K220" s="13" t="n">
        <v>0.32</v>
      </c>
      <c r="L220" s="13" t="n">
        <v>16.7</v>
      </c>
      <c r="M220" s="13" t="n">
        <v>10</v>
      </c>
      <c r="N220" s="13" t="n">
        <v>2</v>
      </c>
      <c r="O220" s="13" t="n">
        <v>3</v>
      </c>
      <c r="P220" s="13" t="n">
        <v>50.1</v>
      </c>
      <c r="Q220" s="13" t="n">
        <v>47.8</v>
      </c>
      <c r="R220" s="13" t="n">
        <v>0.11</v>
      </c>
      <c r="S220" s="13" t="n">
        <v>0.9</v>
      </c>
      <c r="T220" s="13" t="n">
        <v>1.2</v>
      </c>
    </row>
    <row r="221" ht="18" customHeight="1" s="43">
      <c r="A221" s="3" t="inlineStr">
        <is>
          <t>vs Bournemouth</t>
        </is>
      </c>
      <c r="B221" s="13" t="n">
        <v>29</v>
      </c>
      <c r="C221" s="13" t="n">
        <v>38</v>
      </c>
      <c r="D221" s="13" t="n">
        <v>46</v>
      </c>
      <c r="E221" s="13" t="n">
        <v>483</v>
      </c>
      <c r="F221" s="13" t="n">
        <v>168</v>
      </c>
      <c r="G221" s="13" t="n">
        <v>34.8</v>
      </c>
      <c r="H221" s="13" t="n">
        <v>12.71</v>
      </c>
      <c r="I221" s="13" t="n">
        <v>4.42</v>
      </c>
      <c r="J221" s="13" t="n">
        <v>0.09</v>
      </c>
      <c r="K221" s="13" t="n">
        <v>0.25</v>
      </c>
      <c r="L221" s="13" t="n">
        <v>17.1</v>
      </c>
      <c r="M221" s="13" t="n">
        <v>14</v>
      </c>
      <c r="N221" s="13" t="n">
        <v>4</v>
      </c>
      <c r="O221" s="13" t="n">
        <v>4</v>
      </c>
      <c r="P221" s="13" t="n">
        <v>48.5</v>
      </c>
      <c r="Q221" s="13" t="n">
        <v>45.3</v>
      </c>
      <c r="R221" s="13" t="n">
        <v>0.1</v>
      </c>
      <c r="S221" s="13" t="n">
        <v>-2.5</v>
      </c>
      <c r="T221" s="13" t="n">
        <v>-3.3</v>
      </c>
    </row>
    <row r="222" ht="17.1" customHeight="1" s="43">
      <c r="A222" s="3" t="inlineStr">
        <is>
          <t>vs Brentford</t>
        </is>
      </c>
      <c r="B222" s="13" t="n">
        <v>28</v>
      </c>
      <c r="C222" s="13" t="n">
        <v>38</v>
      </c>
      <c r="D222" s="13" t="n">
        <v>54</v>
      </c>
      <c r="E222" s="13" t="n">
        <v>646</v>
      </c>
      <c r="F222" s="13" t="n">
        <v>206</v>
      </c>
      <c r="G222" s="13" t="n">
        <v>31.9</v>
      </c>
      <c r="H222" s="13" t="n">
        <v>17</v>
      </c>
      <c r="I222" s="13" t="n">
        <v>5.42</v>
      </c>
      <c r="J222" s="13" t="n">
        <v>0.08</v>
      </c>
      <c r="K222" s="13" t="n">
        <v>0.26</v>
      </c>
      <c r="L222" s="13" t="n">
        <v>17.5</v>
      </c>
      <c r="M222" s="13" t="n">
        <v>14</v>
      </c>
      <c r="N222" s="13" t="n">
        <v>1</v>
      </c>
      <c r="O222" s="13" t="n">
        <v>1</v>
      </c>
      <c r="P222" s="13" t="n">
        <v>55.4</v>
      </c>
      <c r="Q222" s="13" t="n">
        <v>54.7</v>
      </c>
      <c r="R222" s="13" t="n">
        <v>0.09</v>
      </c>
      <c r="S222" s="13" t="n">
        <v>-1.4</v>
      </c>
      <c r="T222" s="13" t="n">
        <v>-1.7</v>
      </c>
    </row>
    <row r="223">
      <c r="A223" s="3" t="inlineStr">
        <is>
          <t>vs Brighton</t>
        </is>
      </c>
      <c r="B223" s="13" t="n">
        <v>32</v>
      </c>
      <c r="C223" s="13" t="n">
        <v>38</v>
      </c>
      <c r="D223" s="13" t="n">
        <v>57</v>
      </c>
      <c r="E223" s="13" t="n">
        <v>418</v>
      </c>
      <c r="F223" s="13" t="n">
        <v>138</v>
      </c>
      <c r="G223" s="13" t="n">
        <v>33</v>
      </c>
      <c r="H223" s="13" t="n">
        <v>11</v>
      </c>
      <c r="I223" s="13" t="n">
        <v>3.63</v>
      </c>
      <c r="J223" s="13" t="n">
        <v>0.11</v>
      </c>
      <c r="K223" s="13" t="n">
        <v>0.35</v>
      </c>
      <c r="L223" s="13" t="n">
        <v>15.6</v>
      </c>
      <c r="M223" s="13" t="n">
        <v>8</v>
      </c>
      <c r="N223" s="13" t="n">
        <v>9</v>
      </c>
      <c r="O223" s="13" t="n">
        <v>9</v>
      </c>
      <c r="P223" s="13" t="n">
        <v>54.6</v>
      </c>
      <c r="Q223" s="13" t="n">
        <v>47.7</v>
      </c>
      <c r="R223" s="13" t="n">
        <v>0.12</v>
      </c>
      <c r="S223" s="13" t="n">
        <v>2.4</v>
      </c>
      <c r="T223" s="13" t="n">
        <v>0.3</v>
      </c>
    </row>
    <row r="224">
      <c r="A224" s="3" t="inlineStr">
        <is>
          <t>vs Chelsea</t>
        </is>
      </c>
      <c r="B224" s="13" t="n">
        <v>29</v>
      </c>
      <c r="C224" s="13" t="n">
        <v>38</v>
      </c>
      <c r="D224" s="13" t="n">
        <v>43</v>
      </c>
      <c r="E224" s="13" t="n">
        <v>392</v>
      </c>
      <c r="F224" s="13" t="n">
        <v>149</v>
      </c>
      <c r="G224" s="13" t="n">
        <v>38</v>
      </c>
      <c r="H224" s="13" t="n">
        <v>10.32</v>
      </c>
      <c r="I224" s="13" t="n">
        <v>3.92</v>
      </c>
      <c r="J224" s="13" t="n">
        <v>0.1</v>
      </c>
      <c r="K224" s="13" t="n">
        <v>0.26</v>
      </c>
      <c r="L224" s="13" t="n">
        <v>17.1</v>
      </c>
      <c r="M224" s="13" t="n">
        <v>22</v>
      </c>
      <c r="N224" s="13" t="n">
        <v>5</v>
      </c>
      <c r="O224" s="13" t="n">
        <v>6</v>
      </c>
      <c r="P224" s="13" t="n">
        <v>47.3</v>
      </c>
      <c r="Q224" s="13" t="n">
        <v>42.6</v>
      </c>
      <c r="R224" s="13" t="n">
        <v>0.11</v>
      </c>
      <c r="S224" s="13" t="n">
        <v>-4.3</v>
      </c>
      <c r="T224" s="13" t="n">
        <v>-4.6</v>
      </c>
    </row>
    <row r="225" ht="17.1" customHeight="1" s="43">
      <c r="A225" s="3" t="inlineStr">
        <is>
          <t>vs Crystal Palace</t>
        </is>
      </c>
      <c r="B225" s="13" t="n">
        <v>29</v>
      </c>
      <c r="C225" s="13" t="n">
        <v>38</v>
      </c>
      <c r="D225" s="13" t="n">
        <v>48</v>
      </c>
      <c r="E225" s="13" t="n">
        <v>481</v>
      </c>
      <c r="F225" s="13" t="n">
        <v>148</v>
      </c>
      <c r="G225" s="13" t="n">
        <v>30.8</v>
      </c>
      <c r="H225" s="13" t="n">
        <v>12.66</v>
      </c>
      <c r="I225" s="13" t="n">
        <v>3.89</v>
      </c>
      <c r="J225" s="13" t="n">
        <v>0.1</v>
      </c>
      <c r="K225" s="13" t="n">
        <v>0.32</v>
      </c>
      <c r="L225" s="13" t="n">
        <v>16.4</v>
      </c>
      <c r="M225" s="13" t="n">
        <v>9</v>
      </c>
      <c r="N225" s="13" t="n">
        <v>1</v>
      </c>
      <c r="O225" s="13" t="n">
        <v>2</v>
      </c>
      <c r="P225" s="13" t="n">
        <v>49.1</v>
      </c>
      <c r="Q225" s="13" t="n">
        <v>47.5</v>
      </c>
      <c r="R225" s="13" t="n">
        <v>0.1</v>
      </c>
      <c r="S225" s="13" t="n">
        <v>-1.1</v>
      </c>
      <c r="T225" s="13" t="n">
        <v>-0.5</v>
      </c>
    </row>
    <row r="226" ht="63" customHeight="1" s="43">
      <c r="A226" s="3" t="inlineStr">
        <is>
          <t>vs Everton</t>
        </is>
      </c>
      <c r="B226" s="13" t="n">
        <v>26</v>
      </c>
      <c r="C226" s="13" t="n">
        <v>38</v>
      </c>
      <c r="D226" s="13" t="n">
        <v>44</v>
      </c>
      <c r="E226" s="13" t="n">
        <v>478</v>
      </c>
      <c r="F226" s="13" t="n">
        <v>161</v>
      </c>
      <c r="G226" s="13" t="n">
        <v>33.7</v>
      </c>
      <c r="H226" s="13" t="n">
        <v>12.58</v>
      </c>
      <c r="I226" s="13" t="n">
        <v>4.24</v>
      </c>
      <c r="J226" s="13" t="n">
        <v>0.09</v>
      </c>
      <c r="K226" s="13" t="n">
        <v>0.27</v>
      </c>
      <c r="L226" s="13" t="n">
        <v>16.6</v>
      </c>
      <c r="M226" s="13" t="n">
        <v>16</v>
      </c>
      <c r="N226" s="13" t="n">
        <v>0</v>
      </c>
      <c r="O226" s="13" t="n">
        <v>2</v>
      </c>
      <c r="P226" s="13" t="n">
        <v>46.2</v>
      </c>
      <c r="Q226" s="13" t="n">
        <v>44.6</v>
      </c>
      <c r="R226" s="13" t="n">
        <v>0.1</v>
      </c>
      <c r="S226" s="13" t="n">
        <v>-2.2</v>
      </c>
      <c r="T226" s="13" t="n">
        <v>-0.6</v>
      </c>
      <c r="BE226" s="20" t="inlineStr">
        <is>
          <t>Free Kick Goals Allowed</t>
        </is>
      </c>
      <c r="BF226" s="20" t="inlineStr">
        <is>
          <t>Goals From Corner Kicks Allowed</t>
        </is>
      </c>
      <c r="BG226" s="20" t="inlineStr">
        <is>
          <t>Percentage Of Crosses Stopped By Keeper</t>
        </is>
      </c>
    </row>
    <row r="227" ht="18" customHeight="1" s="43">
      <c r="A227" s="3" t="inlineStr">
        <is>
          <t>vs Fulham</t>
        </is>
      </c>
      <c r="B227" s="13" t="n">
        <v>26</v>
      </c>
      <c r="C227" s="13" t="n">
        <v>38</v>
      </c>
      <c r="D227" s="13" t="n">
        <v>52</v>
      </c>
      <c r="E227" s="13" t="n">
        <v>429</v>
      </c>
      <c r="F227" s="13" t="n">
        <v>155</v>
      </c>
      <c r="G227" s="13" t="n">
        <v>36.1</v>
      </c>
      <c r="H227" s="13" t="n">
        <v>11.29</v>
      </c>
      <c r="I227" s="13" t="n">
        <v>4.08</v>
      </c>
      <c r="J227" s="13" t="n">
        <v>0.11</v>
      </c>
      <c r="K227" s="13" t="n">
        <v>0.32</v>
      </c>
      <c r="L227" s="13" t="n">
        <v>16.2</v>
      </c>
      <c r="M227" s="13" t="n">
        <v>17</v>
      </c>
      <c r="N227" s="13" t="n">
        <v>3</v>
      </c>
      <c r="O227" s="13" t="n">
        <v>4</v>
      </c>
      <c r="P227" s="13" t="n">
        <v>47.2</v>
      </c>
      <c r="Q227" s="13" t="n">
        <v>44.1</v>
      </c>
      <c r="R227" s="13" t="n">
        <v>0.11</v>
      </c>
      <c r="S227" s="13" t="n">
        <v>4.8</v>
      </c>
      <c r="T227" s="13" t="n">
        <v>4.9</v>
      </c>
      <c r="BD227">
        <f>VLOOKUP(A227,Helpers!$F$4:$G$32,2,0)</f>
        <v/>
      </c>
      <c r="BE227">
        <f>IF(IF(COUNTIF(BM$227:BM$246,BM227)&gt;1,TRUE,FALSE),"T"&amp;BM227,BM227)</f>
        <v/>
      </c>
      <c r="BF227">
        <f>IF(IF(COUNTIF(BN$227:BN$246,BN227)&gt;1,TRUE,FALSE),"T"&amp;BN227,BN227)</f>
        <v/>
      </c>
      <c r="BG227">
        <f>IF(IF(COUNTIF(BO$227:BO$246,BO227)&gt;1,TRUE,FALSE),"T"&amp;BO227,BO227)</f>
        <v/>
      </c>
      <c r="BM227">
        <f>RANK(F227,F$227:F$246,1)</f>
        <v/>
      </c>
      <c r="BN227">
        <f>RANK(G227,G$227:G$246,1)</f>
        <v/>
      </c>
      <c r="BO227">
        <f>RANK(Y227,Y$227:Y$246)</f>
        <v/>
      </c>
    </row>
    <row r="228" ht="17.1" customHeight="1" s="43">
      <c r="A228" s="3" t="inlineStr">
        <is>
          <t>vs Ipswich Town</t>
        </is>
      </c>
      <c r="B228" s="13" t="n">
        <v>32</v>
      </c>
      <c r="C228" s="13" t="n">
        <v>38</v>
      </c>
      <c r="D228" s="13" t="n">
        <v>80</v>
      </c>
      <c r="E228" s="13" t="n">
        <v>601</v>
      </c>
      <c r="F228" s="13" t="n">
        <v>204</v>
      </c>
      <c r="G228" s="13" t="n">
        <v>33.9</v>
      </c>
      <c r="H228" s="13" t="n">
        <v>15.82</v>
      </c>
      <c r="I228" s="13" t="n">
        <v>5.37</v>
      </c>
      <c r="J228" s="13" t="n">
        <v>0.12</v>
      </c>
      <c r="K228" s="13" t="n">
        <v>0.36</v>
      </c>
      <c r="L228" s="13" t="n">
        <v>16.4</v>
      </c>
      <c r="M228" s="13" t="n">
        <v>14</v>
      </c>
      <c r="N228" s="13" t="n">
        <v>6</v>
      </c>
      <c r="O228" s="13" t="n">
        <v>6</v>
      </c>
      <c r="P228" s="13" t="n">
        <v>72.7</v>
      </c>
      <c r="Q228" s="13" t="n">
        <v>68.3</v>
      </c>
      <c r="R228" s="13" t="n">
        <v>0.12</v>
      </c>
      <c r="S228" s="13" t="n">
        <v>7.3</v>
      </c>
      <c r="T228" s="13" t="n">
        <v>5.7</v>
      </c>
      <c r="BD228">
        <f>VLOOKUP(A228,Helpers!$F$4:$G$32,2,0)</f>
        <v/>
      </c>
      <c r="BE228">
        <f>IF(IF(COUNTIF(BM$227:BM$246,BM228)&gt;1,TRUE,FALSE),"T"&amp;BM228,BM228)</f>
        <v/>
      </c>
      <c r="BF228">
        <f>IF(IF(COUNTIF(BN$227:BN$246,BN228)&gt;1,TRUE,FALSE),"T"&amp;BN228,BN228)</f>
        <v/>
      </c>
      <c r="BG228">
        <f>IF(IF(COUNTIF(BO$227:BO$246,BO228)&gt;1,TRUE,FALSE),"T"&amp;BO228,BO228)</f>
        <v/>
      </c>
      <c r="BM228">
        <f>RANK(F228,F$227:F$246,1)</f>
        <v/>
      </c>
      <c r="BN228">
        <f>RANK(G228,G$227:G$246,1)</f>
        <v/>
      </c>
      <c r="BO228">
        <f>RANK(Y228,Y$227:Y$246)</f>
        <v/>
      </c>
    </row>
    <row r="229" ht="17.1" customHeight="1" s="43">
      <c r="A229" s="3" t="inlineStr">
        <is>
          <t>vs Leicester City</t>
        </is>
      </c>
      <c r="B229" s="13" t="n">
        <v>32</v>
      </c>
      <c r="C229" s="13" t="n">
        <v>38</v>
      </c>
      <c r="D229" s="13" t="n">
        <v>77</v>
      </c>
      <c r="E229" s="13" t="n">
        <v>639</v>
      </c>
      <c r="F229" s="13" t="n">
        <v>205</v>
      </c>
      <c r="G229" s="13" t="n">
        <v>32.1</v>
      </c>
      <c r="H229" s="13" t="n">
        <v>16.82</v>
      </c>
      <c r="I229" s="13" t="n">
        <v>5.39</v>
      </c>
      <c r="J229" s="13" t="n">
        <v>0.12</v>
      </c>
      <c r="K229" s="13" t="n">
        <v>0.36</v>
      </c>
      <c r="L229" s="13" t="n">
        <v>16</v>
      </c>
      <c r="M229" s="13" t="n">
        <v>21</v>
      </c>
      <c r="N229" s="13" t="n">
        <v>3</v>
      </c>
      <c r="O229" s="13" t="n">
        <v>4</v>
      </c>
      <c r="P229" s="13" t="n">
        <v>71.90000000000001</v>
      </c>
      <c r="Q229" s="13" t="n">
        <v>68.8</v>
      </c>
      <c r="R229" s="13" t="n">
        <v>0.11</v>
      </c>
      <c r="S229" s="13" t="n">
        <v>5.1</v>
      </c>
      <c r="T229" s="13" t="n">
        <v>5.2</v>
      </c>
      <c r="BD229">
        <f>VLOOKUP(A229,Helpers!$F$4:$G$32,2,0)</f>
        <v/>
      </c>
      <c r="BE229">
        <f>IF(IF(COUNTIF(BM$227:BM$246,BM229)&gt;1,TRUE,FALSE),"T"&amp;BM229,BM229)</f>
        <v/>
      </c>
      <c r="BF229">
        <f>IF(IF(COUNTIF(BN$227:BN$246,BN229)&gt;1,TRUE,FALSE),"T"&amp;BN229,BN229)</f>
        <v/>
      </c>
      <c r="BG229">
        <f>IF(IF(COUNTIF(BO$227:BO$246,BO229)&gt;1,TRUE,FALSE),"T"&amp;BO229,BO229)</f>
        <v/>
      </c>
      <c r="BM229">
        <f>RANK(F229,F$227:F$246,1)</f>
        <v/>
      </c>
      <c r="BN229">
        <f>RANK(G229,G$227:G$246,1)</f>
        <v/>
      </c>
      <c r="BO229">
        <f>RANK(Y229,Y$227:Y$246)</f>
        <v/>
      </c>
    </row>
    <row r="230">
      <c r="A230" s="3" t="inlineStr">
        <is>
          <t>vs Liverpool</t>
        </is>
      </c>
      <c r="B230" s="13" t="n">
        <v>24</v>
      </c>
      <c r="C230" s="13" t="n">
        <v>38</v>
      </c>
      <c r="D230" s="13" t="n">
        <v>39</v>
      </c>
      <c r="E230" s="13" t="n">
        <v>385</v>
      </c>
      <c r="F230" s="13" t="n">
        <v>136</v>
      </c>
      <c r="G230" s="13" t="n">
        <v>35.3</v>
      </c>
      <c r="H230" s="13" t="n">
        <v>10.13</v>
      </c>
      <c r="I230" s="13" t="n">
        <v>3.58</v>
      </c>
      <c r="J230" s="13" t="n">
        <v>0.1</v>
      </c>
      <c r="K230" s="13" t="n">
        <v>0.28</v>
      </c>
      <c r="L230" s="13" t="n">
        <v>17.6</v>
      </c>
      <c r="M230" s="13" t="n">
        <v>12</v>
      </c>
      <c r="N230" s="13" t="n">
        <v>1</v>
      </c>
      <c r="O230" s="13" t="n">
        <v>2</v>
      </c>
      <c r="P230" s="13" t="n">
        <v>38.6</v>
      </c>
      <c r="Q230" s="13" t="n">
        <v>36.9</v>
      </c>
      <c r="R230" s="13" t="n">
        <v>0.1</v>
      </c>
      <c r="S230" s="13" t="n">
        <v>0.4</v>
      </c>
      <c r="T230" s="13" t="n">
        <v>1.1</v>
      </c>
      <c r="BD230">
        <f>VLOOKUP(A230,Helpers!$F$4:$G$32,2,0)</f>
        <v/>
      </c>
      <c r="BE230">
        <f>IF(IF(COUNTIF(BM$227:BM$246,BM230)&gt;1,TRUE,FALSE),"T"&amp;BM230,BM230)</f>
        <v/>
      </c>
      <c r="BF230">
        <f>IF(IF(COUNTIF(BN$227:BN$246,BN230)&gt;1,TRUE,FALSE),"T"&amp;BN230,BN230)</f>
        <v/>
      </c>
      <c r="BG230">
        <f>IF(IF(COUNTIF(BO$227:BO$246,BO230)&gt;1,TRUE,FALSE),"T"&amp;BO230,BO230)</f>
        <v/>
      </c>
      <c r="BM230">
        <f>RANK(F230,F$227:F$246,1)</f>
        <v/>
      </c>
      <c r="BN230">
        <f>RANK(G230,G$227:G$246,1)</f>
        <v/>
      </c>
      <c r="BO230">
        <f>RANK(Y230,Y$227:Y$246)</f>
        <v/>
      </c>
    </row>
    <row r="231">
      <c r="A231" s="3" t="inlineStr">
        <is>
          <t>vs Manchester City</t>
        </is>
      </c>
      <c r="B231" s="13" t="n">
        <v>30</v>
      </c>
      <c r="C231" s="13" t="n">
        <v>38</v>
      </c>
      <c r="D231" s="13" t="n">
        <v>42</v>
      </c>
      <c r="E231" s="13" t="n">
        <v>351</v>
      </c>
      <c r="F231" s="13" t="n">
        <v>124</v>
      </c>
      <c r="G231" s="13" t="n">
        <v>35.3</v>
      </c>
      <c r="H231" s="13" t="n">
        <v>9.24</v>
      </c>
      <c r="I231" s="13" t="n">
        <v>3.26</v>
      </c>
      <c r="J231" s="13" t="n">
        <v>0.11</v>
      </c>
      <c r="K231" s="13" t="n">
        <v>0.31</v>
      </c>
      <c r="L231" s="13" t="n">
        <v>15.4</v>
      </c>
      <c r="M231" s="13" t="n">
        <v>5</v>
      </c>
      <c r="N231" s="13" t="n">
        <v>4</v>
      </c>
      <c r="O231" s="13" t="n">
        <v>4</v>
      </c>
      <c r="P231" s="13" t="n">
        <v>47.7</v>
      </c>
      <c r="Q231" s="13" t="n">
        <v>44.6</v>
      </c>
      <c r="R231" s="13" t="n">
        <v>0.13</v>
      </c>
      <c r="S231" s="13" t="n">
        <v>-5.7</v>
      </c>
      <c r="T231" s="13" t="n">
        <v>-6.6</v>
      </c>
      <c r="BD231">
        <f>VLOOKUP(A231,Helpers!$F$4:$G$32,2,0)</f>
        <v/>
      </c>
      <c r="BE231">
        <f>IF(IF(COUNTIF(BM$227:BM$246,BM231)&gt;1,TRUE,FALSE),"T"&amp;BM231,BM231)</f>
        <v/>
      </c>
      <c r="BF231">
        <f>IF(IF(COUNTIF(BN$227:BN$246,BN231)&gt;1,TRUE,FALSE),"T"&amp;BN231,BN231)</f>
        <v/>
      </c>
      <c r="BG231">
        <f>IF(IF(COUNTIF(BO$227:BO$246,BO231)&gt;1,TRUE,FALSE),"T"&amp;BO231,BO231)</f>
        <v/>
      </c>
      <c r="BM231">
        <f>RANK(F231,F$227:F$246,1)</f>
        <v/>
      </c>
      <c r="BN231">
        <f>RANK(G231,G$227:G$246,1)</f>
        <v/>
      </c>
      <c r="BO231">
        <f>RANK(Y231,Y$227:Y$246)</f>
        <v/>
      </c>
    </row>
    <row r="232">
      <c r="A232" s="3" t="inlineStr">
        <is>
          <t>vs Manchester Utd</t>
        </is>
      </c>
      <c r="B232" s="13" t="n">
        <v>31</v>
      </c>
      <c r="C232" s="13" t="n">
        <v>38</v>
      </c>
      <c r="D232" s="13" t="n">
        <v>52</v>
      </c>
      <c r="E232" s="13" t="n">
        <v>411</v>
      </c>
      <c r="F232" s="13" t="n">
        <v>145</v>
      </c>
      <c r="G232" s="13" t="n">
        <v>35.3</v>
      </c>
      <c r="H232" s="13" t="n">
        <v>10.82</v>
      </c>
      <c r="I232" s="13" t="n">
        <v>3.82</v>
      </c>
      <c r="J232" s="13" t="n">
        <v>0.12</v>
      </c>
      <c r="K232" s="13" t="n">
        <v>0.34</v>
      </c>
      <c r="L232" s="13" t="n">
        <v>16.5</v>
      </c>
      <c r="M232" s="13" t="n">
        <v>14</v>
      </c>
      <c r="N232" s="13" t="n">
        <v>3</v>
      </c>
      <c r="O232" s="13" t="n">
        <v>4</v>
      </c>
      <c r="P232" s="13" t="n">
        <v>53.8</v>
      </c>
      <c r="Q232" s="13" t="n">
        <v>50.8</v>
      </c>
      <c r="R232" s="13" t="n">
        <v>0.13</v>
      </c>
      <c r="S232" s="13" t="n">
        <v>-1.8</v>
      </c>
      <c r="T232" s="13" t="n">
        <v>-1.8</v>
      </c>
      <c r="BD232">
        <f>VLOOKUP(A232,Helpers!$F$4:$G$32,2,0)</f>
        <v/>
      </c>
      <c r="BE232">
        <f>IF(IF(COUNTIF(BM$227:BM$246,BM232)&gt;1,TRUE,FALSE),"T"&amp;BM232,BM232)</f>
        <v/>
      </c>
      <c r="BF232">
        <f>IF(IF(COUNTIF(BN$227:BN$246,BN232)&gt;1,TRUE,FALSE),"T"&amp;BN232,BN232)</f>
        <v/>
      </c>
      <c r="BG232">
        <f>IF(IF(COUNTIF(BO$227:BO$246,BO232)&gt;1,TRUE,FALSE),"T"&amp;BO232,BO232)</f>
        <v/>
      </c>
      <c r="BM232">
        <f>RANK(F232,F$227:F$246,1)</f>
        <v/>
      </c>
      <c r="BN232">
        <f>RANK(G232,G$227:G$246,1)</f>
        <v/>
      </c>
      <c r="BO232">
        <f>RANK(Y232,Y$227:Y$246)</f>
        <v/>
      </c>
    </row>
    <row r="233">
      <c r="A233" s="3" t="inlineStr">
        <is>
          <t>vs Newcastle Utd</t>
        </is>
      </c>
      <c r="B233" s="13" t="n">
        <v>24</v>
      </c>
      <c r="C233" s="13" t="n">
        <v>38</v>
      </c>
      <c r="D233" s="13" t="n">
        <v>45</v>
      </c>
      <c r="E233" s="13" t="n">
        <v>471</v>
      </c>
      <c r="F233" s="13" t="n">
        <v>159</v>
      </c>
      <c r="G233" s="13" t="n">
        <v>33.8</v>
      </c>
      <c r="H233" s="13" t="n">
        <v>12.39</v>
      </c>
      <c r="I233" s="13" t="n">
        <v>4.18</v>
      </c>
      <c r="J233" s="13" t="n">
        <v>0.09</v>
      </c>
      <c r="K233" s="13" t="n">
        <v>0.28</v>
      </c>
      <c r="L233" s="13" t="n">
        <v>16.7</v>
      </c>
      <c r="M233" s="13" t="n">
        <v>7</v>
      </c>
      <c r="N233" s="13" t="n">
        <v>1</v>
      </c>
      <c r="O233" s="13" t="n">
        <v>2</v>
      </c>
      <c r="P233" s="13" t="n">
        <v>45.5</v>
      </c>
      <c r="Q233" s="13" t="n">
        <v>44</v>
      </c>
      <c r="R233" s="13" t="n">
        <v>0.1</v>
      </c>
      <c r="S233" s="13" t="n">
        <v>-0.5</v>
      </c>
      <c r="T233" s="13" t="n">
        <v>0</v>
      </c>
      <c r="BD233">
        <f>VLOOKUP(A233,Helpers!$F$4:$G$32,2,0)</f>
        <v/>
      </c>
      <c r="BE233">
        <f>IF(IF(COUNTIF(BM$227:BM$246,BM233)&gt;1,TRUE,FALSE),"T"&amp;BM233,BM233)</f>
        <v/>
      </c>
      <c r="BF233">
        <f>IF(IF(COUNTIF(BN$227:BN$246,BN233)&gt;1,TRUE,FALSE),"T"&amp;BN233,BN233)</f>
        <v/>
      </c>
      <c r="BG233">
        <f>IF(IF(COUNTIF(BO$227:BO$246,BO233)&gt;1,TRUE,FALSE),"T"&amp;BO233,BO233)</f>
        <v/>
      </c>
      <c r="BM233">
        <f>RANK(F233,F$227:F$246,1)</f>
        <v/>
      </c>
      <c r="BN233">
        <f>RANK(G233,G$227:G$246,1)</f>
        <v/>
      </c>
      <c r="BO233">
        <f>RANK(Y233,Y$227:Y$246)</f>
        <v/>
      </c>
    </row>
    <row r="234">
      <c r="A234" s="3" t="inlineStr">
        <is>
          <t>vs Nott'ham Forest</t>
        </is>
      </c>
      <c r="B234" s="13" t="n">
        <v>23</v>
      </c>
      <c r="C234" s="13" t="n">
        <v>38</v>
      </c>
      <c r="D234" s="13" t="n">
        <v>46</v>
      </c>
      <c r="E234" s="13" t="n">
        <v>528</v>
      </c>
      <c r="F234" s="13" t="n">
        <v>162</v>
      </c>
      <c r="G234" s="13" t="n">
        <v>30.7</v>
      </c>
      <c r="H234" s="13" t="n">
        <v>13.89</v>
      </c>
      <c r="I234" s="13" t="n">
        <v>4.26</v>
      </c>
      <c r="J234" s="13" t="n">
        <v>0.08</v>
      </c>
      <c r="K234" s="13" t="n">
        <v>0.27</v>
      </c>
      <c r="L234" s="13" t="n">
        <v>16.8</v>
      </c>
      <c r="M234" s="13" t="n">
        <v>11</v>
      </c>
      <c r="N234" s="13" t="n">
        <v>3</v>
      </c>
      <c r="O234" s="13" t="n">
        <v>3</v>
      </c>
      <c r="P234" s="13" t="n">
        <v>48.9</v>
      </c>
      <c r="Q234" s="13" t="n">
        <v>46.5</v>
      </c>
      <c r="R234" s="13" t="n">
        <v>0.09</v>
      </c>
      <c r="S234" s="13" t="n">
        <v>-2.9</v>
      </c>
      <c r="T234" s="13" t="n">
        <v>-3.5</v>
      </c>
      <c r="BD234">
        <f>VLOOKUP(A234,Helpers!$F$4:$G$32,2,0)</f>
        <v/>
      </c>
      <c r="BE234">
        <f>IF(IF(COUNTIF(BM$227:BM$246,BM234)&gt;1,TRUE,FALSE),"T"&amp;BM234,BM234)</f>
        <v/>
      </c>
      <c r="BF234">
        <f>IF(IF(COUNTIF(BN$227:BN$246,BN234)&gt;1,TRUE,FALSE),"T"&amp;BN234,BN234)</f>
        <v/>
      </c>
      <c r="BG234">
        <f>IF(IF(COUNTIF(BO$227:BO$246,BO234)&gt;1,TRUE,FALSE),"T"&amp;BO234,BO234)</f>
        <v/>
      </c>
      <c r="BM234">
        <f>RANK(F234,F$227:F$246,1)</f>
        <v/>
      </c>
      <c r="BN234">
        <f>RANK(G234,G$227:G$246,1)</f>
        <v/>
      </c>
      <c r="BO234">
        <f>RANK(Y234,Y$227:Y$246)</f>
        <v/>
      </c>
    </row>
    <row r="235">
      <c r="A235" s="3" t="inlineStr">
        <is>
          <t>vs Southampton</t>
        </is>
      </c>
      <c r="B235" s="13" t="n">
        <v>36</v>
      </c>
      <c r="C235" s="13" t="n">
        <v>38</v>
      </c>
      <c r="D235" s="13" t="n">
        <v>86</v>
      </c>
      <c r="E235" s="13" t="n">
        <v>672</v>
      </c>
      <c r="F235" s="13" t="n">
        <v>236</v>
      </c>
      <c r="G235" s="13" t="n">
        <v>35.1</v>
      </c>
      <c r="H235" s="13" t="n">
        <v>17.68</v>
      </c>
      <c r="I235" s="13" t="n">
        <v>6.21</v>
      </c>
      <c r="J235" s="13" t="n">
        <v>0.12</v>
      </c>
      <c r="K235" s="13" t="n">
        <v>0.33</v>
      </c>
      <c r="L235" s="13" t="n">
        <v>16.3</v>
      </c>
      <c r="M235" s="13" t="n">
        <v>18</v>
      </c>
      <c r="N235" s="13" t="n">
        <v>7</v>
      </c>
      <c r="O235" s="13" t="n">
        <v>9</v>
      </c>
      <c r="P235" s="13" t="n">
        <v>84.8</v>
      </c>
      <c r="Q235" s="13" t="n">
        <v>77.90000000000001</v>
      </c>
      <c r="R235" s="13" t="n">
        <v>0.12</v>
      </c>
      <c r="S235" s="13" t="n">
        <v>1.2</v>
      </c>
      <c r="T235" s="13" t="n">
        <v>1.1</v>
      </c>
      <c r="BD235">
        <f>VLOOKUP(A235,Helpers!$F$4:$G$32,2,0)</f>
        <v/>
      </c>
      <c r="BE235">
        <f>IF(IF(COUNTIF(BM$227:BM$246,BM235)&gt;1,TRUE,FALSE),"T"&amp;BM235,BM235)</f>
        <v/>
      </c>
      <c r="BF235">
        <f>IF(IF(COUNTIF(BN$227:BN$246,BN235)&gt;1,TRUE,FALSE),"T"&amp;BN235,BN235)</f>
        <v/>
      </c>
      <c r="BG235">
        <f>IF(IF(COUNTIF(BO$227:BO$246,BO235)&gt;1,TRUE,FALSE),"T"&amp;BO235,BO235)</f>
        <v/>
      </c>
      <c r="BM235">
        <f>RANK(F235,F$227:F$246,1)</f>
        <v/>
      </c>
      <c r="BN235">
        <f>RANK(G235,G$227:G$246,1)</f>
        <v/>
      </c>
      <c r="BO235">
        <f>RANK(Y235,Y$227:Y$246)</f>
        <v/>
      </c>
    </row>
    <row r="236">
      <c r="A236" s="3" t="inlineStr">
        <is>
          <t>vs Tottenham</t>
        </is>
      </c>
      <c r="B236" s="13" t="n">
        <v>31</v>
      </c>
      <c r="C236" s="13" t="n">
        <v>38</v>
      </c>
      <c r="D236" s="13" t="n">
        <v>61</v>
      </c>
      <c r="E236" s="13" t="n">
        <v>519</v>
      </c>
      <c r="F236" s="13" t="n">
        <v>177</v>
      </c>
      <c r="G236" s="13" t="n">
        <v>34.1</v>
      </c>
      <c r="H236" s="13" t="n">
        <v>13.66</v>
      </c>
      <c r="I236" s="13" t="n">
        <v>4.66</v>
      </c>
      <c r="J236" s="13" t="n">
        <v>0.11</v>
      </c>
      <c r="K236" s="13" t="n">
        <v>0.33</v>
      </c>
      <c r="L236" s="13" t="n">
        <v>15.8</v>
      </c>
      <c r="M236" s="13" t="n">
        <v>8</v>
      </c>
      <c r="N236" s="13" t="n">
        <v>3</v>
      </c>
      <c r="O236" s="13" t="n">
        <v>3</v>
      </c>
      <c r="P236" s="13" t="n">
        <v>63.3</v>
      </c>
      <c r="Q236" s="13" t="n">
        <v>60.9</v>
      </c>
      <c r="R236" s="13" t="n">
        <v>0.12</v>
      </c>
      <c r="S236" s="13" t="n">
        <v>-2.3</v>
      </c>
      <c r="T236" s="13" t="n">
        <v>-2.9</v>
      </c>
      <c r="BD236">
        <f>VLOOKUP(A236,Helpers!$F$4:$G$32,2,0)</f>
        <v/>
      </c>
      <c r="BE236">
        <f>IF(IF(COUNTIF(BM$227:BM$246,BM236)&gt;1,TRUE,FALSE),"T"&amp;BM236,BM236)</f>
        <v/>
      </c>
      <c r="BF236">
        <f>IF(IF(COUNTIF(BN$227:BN$246,BN236)&gt;1,TRUE,FALSE),"T"&amp;BN236,BN236)</f>
        <v/>
      </c>
      <c r="BG236">
        <f>IF(IF(COUNTIF(BO$227:BO$246,BO236)&gt;1,TRUE,FALSE),"T"&amp;BO236,BO236)</f>
        <v/>
      </c>
      <c r="BM236">
        <f>RANK(F236,F$227:F$246,1)</f>
        <v/>
      </c>
      <c r="BN236">
        <f>RANK(G236,G$227:G$246,1)</f>
        <v/>
      </c>
      <c r="BO236">
        <f>RANK(Y236,Y$227:Y$246)</f>
        <v/>
      </c>
    </row>
    <row r="237">
      <c r="A237" s="3" t="inlineStr">
        <is>
          <t>vs West Ham</t>
        </is>
      </c>
      <c r="B237" s="13" t="n">
        <v>27</v>
      </c>
      <c r="C237" s="13" t="n">
        <v>38</v>
      </c>
      <c r="D237" s="13" t="n">
        <v>59</v>
      </c>
      <c r="E237" s="13" t="n">
        <v>580</v>
      </c>
      <c r="F237" s="13" t="n">
        <v>183</v>
      </c>
      <c r="G237" s="13" t="n">
        <v>31.6</v>
      </c>
      <c r="H237" s="13" t="n">
        <v>15.26</v>
      </c>
      <c r="I237" s="13" t="n">
        <v>4.82</v>
      </c>
      <c r="J237" s="13" t="n">
        <v>0.1</v>
      </c>
      <c r="K237" s="13" t="n">
        <v>0.31</v>
      </c>
      <c r="L237" s="13" t="n">
        <v>16.9</v>
      </c>
      <c r="M237" s="13" t="n">
        <v>18</v>
      </c>
      <c r="N237" s="13" t="n">
        <v>3</v>
      </c>
      <c r="O237" s="13" t="n">
        <v>3</v>
      </c>
      <c r="P237" s="13" t="n">
        <v>59.7</v>
      </c>
      <c r="Q237" s="13" t="n">
        <v>57.4</v>
      </c>
      <c r="R237" s="13" t="n">
        <v>0.1</v>
      </c>
      <c r="S237" s="13" t="n">
        <v>-0.7</v>
      </c>
      <c r="T237" s="13" t="n">
        <v>-1.4</v>
      </c>
      <c r="BD237">
        <f>VLOOKUP(A237,Helpers!$F$4:$G$32,2,0)</f>
        <v/>
      </c>
      <c r="BE237">
        <f>IF(IF(COUNTIF(BM$227:BM$246,BM237)&gt;1,TRUE,FALSE),"T"&amp;BM237,BM237)</f>
        <v/>
      </c>
      <c r="BF237">
        <f>IF(IF(COUNTIF(BN$227:BN$246,BN237)&gt;1,TRUE,FALSE),"T"&amp;BN237,BN237)</f>
        <v/>
      </c>
      <c r="BG237">
        <f>IF(IF(COUNTIF(BO$227:BO$246,BO237)&gt;1,TRUE,FALSE),"T"&amp;BO237,BO237)</f>
        <v/>
      </c>
      <c r="BM237">
        <f>RANK(F237,F$227:F$246,1)</f>
        <v/>
      </c>
      <c r="BN237">
        <f>RANK(G237,G$227:G$246,1)</f>
        <v/>
      </c>
      <c r="BO237">
        <f>RANK(Y237,Y$227:Y$246)</f>
        <v/>
      </c>
    </row>
    <row r="238">
      <c r="A238" s="3" t="inlineStr">
        <is>
          <t>vs Wolves</t>
        </is>
      </c>
      <c r="B238" s="13" t="n">
        <v>32</v>
      </c>
      <c r="C238" s="13" t="n">
        <v>38</v>
      </c>
      <c r="D238" s="13" t="n">
        <v>66</v>
      </c>
      <c r="E238" s="13" t="n">
        <v>464</v>
      </c>
      <c r="F238" s="13" t="n">
        <v>159</v>
      </c>
      <c r="G238" s="13" t="n">
        <v>34.3</v>
      </c>
      <c r="H238" s="13" t="n">
        <v>12.21</v>
      </c>
      <c r="I238" s="13" t="n">
        <v>4.18</v>
      </c>
      <c r="J238" s="13" t="n">
        <v>0.13</v>
      </c>
      <c r="K238" s="13" t="n">
        <v>0.37</v>
      </c>
      <c r="L238" s="13" t="n">
        <v>16.5</v>
      </c>
      <c r="M238" s="13" t="n">
        <v>19</v>
      </c>
      <c r="N238" s="13" t="n">
        <v>7</v>
      </c>
      <c r="O238" s="13" t="n">
        <v>9</v>
      </c>
      <c r="P238" s="13" t="n">
        <v>58.1</v>
      </c>
      <c r="Q238" s="13" t="n">
        <v>51</v>
      </c>
      <c r="R238" s="13" t="n">
        <v>0.11</v>
      </c>
      <c r="S238" s="13" t="n">
        <v>7.9</v>
      </c>
      <c r="T238" s="13" t="n">
        <v>8</v>
      </c>
      <c r="BD238">
        <f>VLOOKUP(A238,Helpers!$F$4:$G$32,2,0)</f>
        <v/>
      </c>
      <c r="BE238">
        <f>IF(IF(COUNTIF(BM$227:BM$246,BM238)&gt;1,TRUE,FALSE),"T"&amp;BM238,BM238)</f>
        <v/>
      </c>
      <c r="BF238">
        <f>IF(IF(COUNTIF(BN$227:BN$246,BN238)&gt;1,TRUE,FALSE),"T"&amp;BN238,BN238)</f>
        <v/>
      </c>
      <c r="BG238">
        <f>IF(IF(COUNTIF(BO$227:BO$246,BO238)&gt;1,TRUE,FALSE),"T"&amp;BO238,BO238)</f>
        <v/>
      </c>
      <c r="BM238">
        <f>RANK(F238,F$227:F$246,1)</f>
        <v/>
      </c>
      <c r="BN238">
        <f>RANK(G238,G$227:G$246,1)</f>
        <v/>
      </c>
      <c r="BO238">
        <f>RANK(Y238,Y$227:Y$246)</f>
        <v/>
      </c>
    </row>
    <row r="239">
      <c r="BD239">
        <f>VLOOKUP(A239,Helpers!$F$4:$G$32,2,0)</f>
        <v/>
      </c>
      <c r="BE239">
        <f>IF(IF(COUNTIF(BM$227:BM$246,BM239)&gt;1,TRUE,FALSE),"T"&amp;BM239,BM239)</f>
        <v/>
      </c>
      <c r="BF239">
        <f>IF(IF(COUNTIF(BN$227:BN$246,BN239)&gt;1,TRUE,FALSE),"T"&amp;BN239,BN239)</f>
        <v/>
      </c>
      <c r="BG239">
        <f>IF(IF(COUNTIF(BO$227:BO$246,BO239)&gt;1,TRUE,FALSE),"T"&amp;BO239,BO239)</f>
        <v/>
      </c>
      <c r="BM239">
        <f>RANK(F239,F$227:F$246,1)</f>
        <v/>
      </c>
      <c r="BN239">
        <f>RANK(G239,G$227:G$246,1)</f>
        <v/>
      </c>
      <c r="BO239">
        <f>RANK(Y239,Y$227:Y$246)</f>
        <v/>
      </c>
    </row>
    <row r="240">
      <c r="A240" s="45" t="inlineStr">
        <is>
          <t>Squad Passing 2024-2025 Premier League Table</t>
        </is>
      </c>
      <c r="BD240">
        <f>VLOOKUP(A240,Helpers!$F$4:$G$32,2,0)</f>
        <v/>
      </c>
      <c r="BE240">
        <f>IF(IF(COUNTIF(BM$227:BM$246,BM240)&gt;1,TRUE,FALSE),"T"&amp;BM240,BM240)</f>
        <v/>
      </c>
      <c r="BF240">
        <f>IF(IF(COUNTIF(BN$227:BN$246,BN240)&gt;1,TRUE,FALSE),"T"&amp;BN240,BN240)</f>
        <v/>
      </c>
      <c r="BG240">
        <f>IF(IF(COUNTIF(BO$227:BO$246,BO240)&gt;1,TRUE,FALSE),"T"&amp;BO240,BO240)</f>
        <v/>
      </c>
      <c r="BM240">
        <f>RANK(F240,F$227:F$246,1)</f>
        <v/>
      </c>
      <c r="BN240">
        <f>RANK(G240,G$227:G$246,1)</f>
        <v/>
      </c>
      <c r="BO240">
        <f>RANK(Y240,Y$227:Y$246)</f>
        <v/>
      </c>
    </row>
    <row r="241" ht="17.1" customHeight="1" s="43">
      <c r="A241" s="44" t="n"/>
      <c r="D241" s="44" t="inlineStr">
        <is>
          <t>Total</t>
        </is>
      </c>
      <c r="I241" s="44" t="inlineStr">
        <is>
          <t>Short</t>
        </is>
      </c>
      <c r="L241" s="44" t="inlineStr">
        <is>
          <t>Medium</t>
        </is>
      </c>
      <c r="O241" s="44" t="inlineStr">
        <is>
          <t>Long</t>
        </is>
      </c>
      <c r="R241" s="44" t="n"/>
      <c r="T241" s="44" t="inlineStr">
        <is>
          <t>Expected</t>
        </is>
      </c>
      <c r="V241" s="44" t="n"/>
      <c r="BD241">
        <f>VLOOKUP(A241,Helpers!$F$4:$G$32,2,0)</f>
        <v/>
      </c>
      <c r="BE241">
        <f>IF(IF(COUNTIF(BM$227:BM$246,BM241)&gt;1,TRUE,FALSE),"T"&amp;BM241,BM241)</f>
        <v/>
      </c>
      <c r="BF241">
        <f>IF(IF(COUNTIF(BN$227:BN$246,BN241)&gt;1,TRUE,FALSE),"T"&amp;BN241,BN241)</f>
        <v/>
      </c>
      <c r="BG241">
        <f>IF(IF(COUNTIF(BO$227:BO$246,BO241)&gt;1,TRUE,FALSE),"T"&amp;BO241,BO241)</f>
        <v/>
      </c>
      <c r="BM241">
        <f>RANK(F241,F$227:F$246,1)</f>
        <v/>
      </c>
      <c r="BN241">
        <f>RANK(G241,G$227:G$246,1)</f>
        <v/>
      </c>
      <c r="BO241">
        <f>RANK(Y241,Y$227:Y$246)</f>
        <v/>
      </c>
    </row>
    <row r="242">
      <c r="A242" s="44" t="inlineStr">
        <is>
          <t>Squad</t>
        </is>
      </c>
      <c r="B242" s="44" t="inlineStr">
        <is>
          <t># Pl</t>
        </is>
      </c>
      <c r="C242" s="44" t="inlineStr">
        <is>
          <t>90s</t>
        </is>
      </c>
      <c r="D242" s="44" t="inlineStr">
        <is>
          <t>Cmp</t>
        </is>
      </c>
      <c r="E242" s="44" t="inlineStr">
        <is>
          <t>Att</t>
        </is>
      </c>
      <c r="F242" s="44" t="inlineStr">
        <is>
          <t>Cmp%</t>
        </is>
      </c>
      <c r="G242" s="44" t="inlineStr">
        <is>
          <t>TotDist</t>
        </is>
      </c>
      <c r="H242" s="44" t="inlineStr">
        <is>
          <t>PrgDist</t>
        </is>
      </c>
      <c r="I242" s="44" t="inlineStr">
        <is>
          <t>Cmp</t>
        </is>
      </c>
      <c r="J242" s="44" t="inlineStr">
        <is>
          <t>Att</t>
        </is>
      </c>
      <c r="K242" s="44" t="inlineStr">
        <is>
          <t>Cmp%</t>
        </is>
      </c>
      <c r="L242" s="44" t="inlineStr">
        <is>
          <t>Cmp</t>
        </is>
      </c>
      <c r="M242" s="44" t="inlineStr">
        <is>
          <t>Att</t>
        </is>
      </c>
      <c r="N242" s="44" t="inlineStr">
        <is>
          <t>Cmp%</t>
        </is>
      </c>
      <c r="O242" s="44" t="inlineStr">
        <is>
          <t>Cmp</t>
        </is>
      </c>
      <c r="P242" s="44" t="inlineStr">
        <is>
          <t>Att</t>
        </is>
      </c>
      <c r="Q242" s="44" t="inlineStr">
        <is>
          <t>Cmp%</t>
        </is>
      </c>
      <c r="R242" s="44" t="inlineStr">
        <is>
          <t>Ast</t>
        </is>
      </c>
      <c r="S242" s="44" t="inlineStr">
        <is>
          <t>xAG</t>
        </is>
      </c>
      <c r="T242" s="44" t="inlineStr">
        <is>
          <t>xA</t>
        </is>
      </c>
      <c r="U242" s="44" t="inlineStr">
        <is>
          <t>A-xAG</t>
        </is>
      </c>
      <c r="V242" s="44" t="inlineStr">
        <is>
          <t>KP</t>
        </is>
      </c>
      <c r="W242" s="44" t="inlineStr">
        <is>
          <t>1/3</t>
        </is>
      </c>
      <c r="X242" s="44" t="inlineStr">
        <is>
          <t>PPA</t>
        </is>
      </c>
      <c r="Y242" s="44" t="inlineStr">
        <is>
          <t>CrsPA</t>
        </is>
      </c>
      <c r="Z242" s="44" t="inlineStr">
        <is>
          <t>PrgP</t>
        </is>
      </c>
      <c r="BD242">
        <f>VLOOKUP(A242,Helpers!$F$4:$G$32,2,0)</f>
        <v/>
      </c>
      <c r="BE242">
        <f>IF(IF(COUNTIF(BM$227:BM$246,BM242)&gt;1,TRUE,FALSE),"T"&amp;BM242,BM242)</f>
        <v/>
      </c>
      <c r="BF242">
        <f>IF(IF(COUNTIF(BN$227:BN$246,BN242)&gt;1,TRUE,FALSE),"T"&amp;BN242,BN242)</f>
        <v/>
      </c>
      <c r="BG242">
        <f>IF(IF(COUNTIF(BO$227:BO$246,BO242)&gt;1,TRUE,FALSE),"T"&amp;BO242,BO242)</f>
        <v/>
      </c>
      <c r="BM242">
        <f>RANK(F242,F$227:F$246,1)</f>
        <v/>
      </c>
      <c r="BN242">
        <f>RANK(G242,G$227:G$246,1)</f>
        <v/>
      </c>
      <c r="BO242">
        <f>RANK(Y242,Y$227:Y$246)</f>
        <v/>
      </c>
    </row>
    <row r="243" ht="18" customHeight="1" s="43">
      <c r="A243" s="3" t="inlineStr">
        <is>
          <t>Arsenal</t>
        </is>
      </c>
      <c r="B243" s="13" t="n">
        <v>25</v>
      </c>
      <c r="C243" s="13" t="n">
        <v>38</v>
      </c>
      <c r="D243" s="13" t="n">
        <v>17066</v>
      </c>
      <c r="E243" s="13" t="n">
        <v>20241</v>
      </c>
      <c r="F243" s="13" t="n">
        <v>84.3</v>
      </c>
      <c r="G243" s="13" t="n">
        <v>278808</v>
      </c>
      <c r="H243" s="13" t="n">
        <v>87055</v>
      </c>
      <c r="I243" s="13" t="n">
        <v>8591</v>
      </c>
      <c r="J243" s="13" t="n">
        <v>9363</v>
      </c>
      <c r="K243" s="13" t="n">
        <v>91.8</v>
      </c>
      <c r="L243" s="13" t="n">
        <v>7129</v>
      </c>
      <c r="M243" s="13" t="n">
        <v>7999</v>
      </c>
      <c r="N243" s="13" t="n">
        <v>89.09999999999999</v>
      </c>
      <c r="O243" s="13" t="n">
        <v>1031</v>
      </c>
      <c r="P243" s="13" t="n">
        <v>2022</v>
      </c>
      <c r="Q243" s="13" t="n">
        <v>51</v>
      </c>
      <c r="R243" s="13" t="n">
        <v>55</v>
      </c>
      <c r="S243" s="13" t="n">
        <v>45.3</v>
      </c>
      <c r="T243" s="13" t="n">
        <v>45.7</v>
      </c>
      <c r="U243" s="13" t="n">
        <v>9.699999999999999</v>
      </c>
      <c r="V243" s="13" t="n">
        <v>428</v>
      </c>
      <c r="W243" s="13" t="n">
        <v>1397</v>
      </c>
      <c r="X243" s="13" t="n">
        <v>437</v>
      </c>
      <c r="Y243" s="13" t="n">
        <v>75</v>
      </c>
      <c r="Z243" s="13" t="n">
        <v>1826</v>
      </c>
      <c r="BD243">
        <f>VLOOKUP(A243,Helpers!$F$4:$G$32,2,0)</f>
        <v/>
      </c>
      <c r="BE243">
        <f>IF(IF(COUNTIF(BM$227:BM$246,BM243)&gt;1,TRUE,FALSE),"T"&amp;BM243,BM243)</f>
        <v/>
      </c>
      <c r="BF243">
        <f>IF(IF(COUNTIF(BN$227:BN$246,BN243)&gt;1,TRUE,FALSE),"T"&amp;BN243,BN243)</f>
        <v/>
      </c>
      <c r="BG243">
        <f>IF(IF(COUNTIF(BO$227:BO$246,BO243)&gt;1,TRUE,FALSE),"T"&amp;BO243,BO243)</f>
        <v/>
      </c>
      <c r="BM243">
        <f>RANK(F243,F$227:F$246,1)</f>
        <v/>
      </c>
      <c r="BN243">
        <f>RANK(G243,G$227:G$246,1)</f>
        <v/>
      </c>
      <c r="BO243">
        <f>RANK(Y243,Y$227:Y$246)</f>
        <v/>
      </c>
    </row>
    <row r="244" ht="17.1" customHeight="1" s="43">
      <c r="A244" s="3" t="inlineStr">
        <is>
          <t>Aston Villa</t>
        </is>
      </c>
      <c r="B244" s="13" t="n">
        <v>28</v>
      </c>
      <c r="C244" s="13" t="n">
        <v>38</v>
      </c>
      <c r="D244" s="13" t="n">
        <v>14701</v>
      </c>
      <c r="E244" s="13" t="n">
        <v>17797</v>
      </c>
      <c r="F244" s="13" t="n">
        <v>82.59999999999999</v>
      </c>
      <c r="G244" s="13" t="n">
        <v>252637</v>
      </c>
      <c r="H244" s="13" t="n">
        <v>88182</v>
      </c>
      <c r="I244" s="13" t="n">
        <v>6778</v>
      </c>
      <c r="J244" s="13" t="n">
        <v>7510</v>
      </c>
      <c r="K244" s="13" t="n">
        <v>90.3</v>
      </c>
      <c r="L244" s="13" t="n">
        <v>6555</v>
      </c>
      <c r="M244" s="13" t="n">
        <v>7386</v>
      </c>
      <c r="N244" s="13" t="n">
        <v>88.7</v>
      </c>
      <c r="O244" s="13" t="n">
        <v>1088</v>
      </c>
      <c r="P244" s="13" t="n">
        <v>2065</v>
      </c>
      <c r="Q244" s="13" t="n">
        <v>52.7</v>
      </c>
      <c r="R244" s="13" t="n">
        <v>45</v>
      </c>
      <c r="S244" s="13" t="n">
        <v>41.7</v>
      </c>
      <c r="T244" s="13" t="n">
        <v>36.9</v>
      </c>
      <c r="U244" s="13" t="n">
        <v>3.3</v>
      </c>
      <c r="V244" s="13" t="n">
        <v>358</v>
      </c>
      <c r="W244" s="13" t="n">
        <v>1137</v>
      </c>
      <c r="X244" s="13" t="n">
        <v>319</v>
      </c>
      <c r="Y244" s="13" t="n">
        <v>56</v>
      </c>
      <c r="Z244" s="13" t="n">
        <v>1344</v>
      </c>
      <c r="BD244">
        <f>VLOOKUP(A244,Helpers!$F$4:$G$32,2,0)</f>
        <v/>
      </c>
      <c r="BE244">
        <f>IF(IF(COUNTIF(BM$227:BM$246,BM244)&gt;1,TRUE,FALSE),"T"&amp;BM244,BM244)</f>
        <v/>
      </c>
      <c r="BF244">
        <f>IF(IF(COUNTIF(BN$227:BN$246,BN244)&gt;1,TRUE,FALSE),"T"&amp;BN244,BN244)</f>
        <v/>
      </c>
      <c r="BG244">
        <f>IF(IF(COUNTIF(BO$227:BO$246,BO244)&gt;1,TRUE,FALSE),"T"&amp;BO244,BO244)</f>
        <v/>
      </c>
      <c r="BM244">
        <f>RANK(F244,F$227:F$246,1)</f>
        <v/>
      </c>
      <c r="BN244">
        <f>RANK(G244,G$227:G$246,1)</f>
        <v/>
      </c>
      <c r="BO244">
        <f>RANK(Y244,Y$227:Y$246)</f>
        <v/>
      </c>
    </row>
    <row r="245">
      <c r="A245" s="3" t="inlineStr">
        <is>
          <t>Bournemouth</t>
        </is>
      </c>
      <c r="B245" s="13" t="n">
        <v>29</v>
      </c>
      <c r="C245" s="13" t="n">
        <v>38</v>
      </c>
      <c r="D245" s="13" t="n">
        <v>12977</v>
      </c>
      <c r="E245" s="13" t="n">
        <v>16900</v>
      </c>
      <c r="F245" s="13" t="n">
        <v>76.8</v>
      </c>
      <c r="G245" s="13" t="n">
        <v>233955</v>
      </c>
      <c r="H245" s="13" t="n">
        <v>86767</v>
      </c>
      <c r="I245" s="13" t="n">
        <v>5648</v>
      </c>
      <c r="J245" s="13" t="n">
        <v>6514</v>
      </c>
      <c r="K245" s="13" t="n">
        <v>86.7</v>
      </c>
      <c r="L245" s="13" t="n">
        <v>5659</v>
      </c>
      <c r="M245" s="13" t="n">
        <v>6670</v>
      </c>
      <c r="N245" s="13" t="n">
        <v>84.8</v>
      </c>
      <c r="O245" s="13" t="n">
        <v>1365</v>
      </c>
      <c r="P245" s="13" t="n">
        <v>2819</v>
      </c>
      <c r="Q245" s="13" t="n">
        <v>48.4</v>
      </c>
      <c r="R245" s="13" t="n">
        <v>41</v>
      </c>
      <c r="S245" s="13" t="n">
        <v>43.8</v>
      </c>
      <c r="T245" s="13" t="n">
        <v>36.5</v>
      </c>
      <c r="U245" s="13" t="n">
        <v>-2.8</v>
      </c>
      <c r="V245" s="13" t="n">
        <v>437</v>
      </c>
      <c r="W245" s="13" t="n">
        <v>1242</v>
      </c>
      <c r="X245" s="13" t="n">
        <v>339</v>
      </c>
      <c r="Y245" s="13" t="n">
        <v>106</v>
      </c>
      <c r="Z245" s="13" t="n">
        <v>1489</v>
      </c>
      <c r="BD245">
        <f>VLOOKUP(A245,Helpers!$F$4:$G$32,2,0)</f>
        <v/>
      </c>
      <c r="BE245">
        <f>IF(IF(COUNTIF(BM$227:BM$246,BM245)&gt;1,TRUE,FALSE),"T"&amp;BM245,BM245)</f>
        <v/>
      </c>
      <c r="BF245">
        <f>IF(IF(COUNTIF(BN$227:BN$246,BN245)&gt;1,TRUE,FALSE),"T"&amp;BN245,BN245)</f>
        <v/>
      </c>
      <c r="BG245">
        <f>IF(IF(COUNTIF(BO$227:BO$246,BO245)&gt;1,TRUE,FALSE),"T"&amp;BO245,BO245)</f>
        <v/>
      </c>
      <c r="BM245">
        <f>RANK(F245,F$227:F$246,1)</f>
        <v/>
      </c>
      <c r="BN245">
        <f>RANK(G245,G$227:G$246,1)</f>
        <v/>
      </c>
      <c r="BO245">
        <f>RANK(Y245,Y$227:Y$246)</f>
        <v/>
      </c>
    </row>
    <row r="246">
      <c r="A246" s="3" t="inlineStr">
        <is>
          <t>Brentford</t>
        </is>
      </c>
      <c r="B246" s="13" t="n">
        <v>28</v>
      </c>
      <c r="C246" s="13" t="n">
        <v>38</v>
      </c>
      <c r="D246" s="13" t="n">
        <v>13358</v>
      </c>
      <c r="E246" s="13" t="n">
        <v>17100</v>
      </c>
      <c r="F246" s="13" t="n">
        <v>78.09999999999999</v>
      </c>
      <c r="G246" s="13" t="n">
        <v>245539</v>
      </c>
      <c r="H246" s="13" t="n">
        <v>93263</v>
      </c>
      <c r="I246" s="13" t="n">
        <v>5849</v>
      </c>
      <c r="J246" s="13" t="n">
        <v>6739</v>
      </c>
      <c r="K246" s="13" t="n">
        <v>86.8</v>
      </c>
      <c r="L246" s="13" t="n">
        <v>5826</v>
      </c>
      <c r="M246" s="13" t="n">
        <v>6875</v>
      </c>
      <c r="N246" s="13" t="n">
        <v>84.7</v>
      </c>
      <c r="O246" s="13" t="n">
        <v>1449</v>
      </c>
      <c r="P246" s="13" t="n">
        <v>2741</v>
      </c>
      <c r="Q246" s="13" t="n">
        <v>52.9</v>
      </c>
      <c r="R246" s="13" t="n">
        <v>44</v>
      </c>
      <c r="S246" s="13" t="n">
        <v>42.4</v>
      </c>
      <c r="T246" s="13" t="n">
        <v>38.1</v>
      </c>
      <c r="U246" s="13" t="n">
        <v>1.6</v>
      </c>
      <c r="V246" s="13" t="n">
        <v>330</v>
      </c>
      <c r="W246" s="13" t="n">
        <v>1104</v>
      </c>
      <c r="X246" s="13" t="n">
        <v>325</v>
      </c>
      <c r="Y246" s="13" t="n">
        <v>91</v>
      </c>
      <c r="Z246" s="13" t="n">
        <v>1356</v>
      </c>
      <c r="BD246">
        <f>VLOOKUP(A246,Helpers!$F$4:$G$32,2,0)</f>
        <v/>
      </c>
      <c r="BE246">
        <f>IF(IF(COUNTIF(BM$227:BM$246,BM246)&gt;1,TRUE,FALSE),"T"&amp;BM246,BM246)</f>
        <v/>
      </c>
      <c r="BF246">
        <f>IF(IF(COUNTIF(BN$227:BN$246,BN246)&gt;1,TRUE,FALSE),"T"&amp;BN246,BN246)</f>
        <v/>
      </c>
      <c r="BG246">
        <f>IF(IF(COUNTIF(BO$227:BO$246,BO246)&gt;1,TRUE,FALSE),"T"&amp;BO246,BO246)</f>
        <v/>
      </c>
      <c r="BM246">
        <f>RANK(F246,F$227:F$246,1)</f>
        <v/>
      </c>
      <c r="BN246">
        <f>RANK(G246,G$227:G$246,1)</f>
        <v/>
      </c>
      <c r="BO246">
        <f>RANK(Y246,Y$227:Y$246)</f>
        <v/>
      </c>
    </row>
    <row r="247" ht="15.75" customHeight="1" s="43">
      <c r="A247" s="3" t="inlineStr">
        <is>
          <t>Brighton</t>
        </is>
      </c>
      <c r="B247" s="13" t="n">
        <v>32</v>
      </c>
      <c r="C247" s="13" t="n">
        <v>38</v>
      </c>
      <c r="D247" s="13" t="n">
        <v>15820</v>
      </c>
      <c r="E247" s="13" t="n">
        <v>19188</v>
      </c>
      <c r="F247" s="13" t="n">
        <v>82.40000000000001</v>
      </c>
      <c r="G247" s="13" t="n">
        <v>268916</v>
      </c>
      <c r="H247" s="13" t="n">
        <v>90984</v>
      </c>
      <c r="I247" s="13" t="n">
        <v>7629</v>
      </c>
      <c r="J247" s="13" t="n">
        <v>8443</v>
      </c>
      <c r="K247" s="13" t="n">
        <v>90.40000000000001</v>
      </c>
      <c r="L247" s="13" t="n">
        <v>6541</v>
      </c>
      <c r="M247" s="13" t="n">
        <v>7472</v>
      </c>
      <c r="N247" s="13" t="n">
        <v>87.5</v>
      </c>
      <c r="O247" s="13" t="n">
        <v>1313</v>
      </c>
      <c r="P247" s="13" t="n">
        <v>2397</v>
      </c>
      <c r="Q247" s="13" t="n">
        <v>54.8</v>
      </c>
      <c r="R247" s="13" t="n">
        <v>41</v>
      </c>
      <c r="S247" s="13" t="n">
        <v>40.4</v>
      </c>
      <c r="T247" s="13" t="n">
        <v>39.1</v>
      </c>
      <c r="U247" s="13" t="n">
        <v>0.6</v>
      </c>
      <c r="V247" s="13" t="n">
        <v>377</v>
      </c>
      <c r="W247" s="13" t="n">
        <v>1189</v>
      </c>
      <c r="X247" s="13" t="n">
        <v>339</v>
      </c>
      <c r="Y247" s="13" t="n">
        <v>87</v>
      </c>
      <c r="Z247" s="13" t="n">
        <v>1539</v>
      </c>
    </row>
    <row r="248">
      <c r="A248" s="3" t="inlineStr">
        <is>
          <t>Chelsea</t>
        </is>
      </c>
      <c r="B248" s="13" t="n">
        <v>29</v>
      </c>
      <c r="C248" s="13" t="n">
        <v>38</v>
      </c>
      <c r="D248" s="13" t="n">
        <v>18033</v>
      </c>
      <c r="E248" s="13" t="n">
        <v>21320</v>
      </c>
      <c r="F248" s="13" t="n">
        <v>84.59999999999999</v>
      </c>
      <c r="G248" s="13" t="n">
        <v>311166</v>
      </c>
      <c r="H248" s="13" t="n">
        <v>98339</v>
      </c>
      <c r="I248" s="13" t="n">
        <v>8067</v>
      </c>
      <c r="J248" s="13" t="n">
        <v>8802</v>
      </c>
      <c r="K248" s="13" t="n">
        <v>91.59999999999999</v>
      </c>
      <c r="L248" s="13" t="n">
        <v>8244</v>
      </c>
      <c r="M248" s="13" t="n">
        <v>9120</v>
      </c>
      <c r="N248" s="13" t="n">
        <v>90.40000000000001</v>
      </c>
      <c r="O248" s="13" t="n">
        <v>1369</v>
      </c>
      <c r="P248" s="13" t="n">
        <v>2547</v>
      </c>
      <c r="Q248" s="13" t="n">
        <v>53.7</v>
      </c>
      <c r="R248" s="13" t="n">
        <v>47</v>
      </c>
      <c r="S248" s="13" t="n">
        <v>52.7</v>
      </c>
      <c r="T248" s="13" t="n">
        <v>41.8</v>
      </c>
      <c r="U248" s="13" t="n">
        <v>-5.7</v>
      </c>
      <c r="V248" s="13" t="n">
        <v>457</v>
      </c>
      <c r="W248" s="13" t="n">
        <v>1488</v>
      </c>
      <c r="X248" s="13" t="n">
        <v>346</v>
      </c>
      <c r="Y248" s="13" t="n">
        <v>73</v>
      </c>
      <c r="Z248" s="13" t="n">
        <v>1595</v>
      </c>
    </row>
    <row r="249" ht="18" customHeight="1" s="43">
      <c r="A249" s="3" t="inlineStr">
        <is>
          <t>Crystal Palace</t>
        </is>
      </c>
      <c r="B249" s="13" t="n">
        <v>29</v>
      </c>
      <c r="C249" s="13" t="n">
        <v>38</v>
      </c>
      <c r="D249" s="13" t="n">
        <v>11875</v>
      </c>
      <c r="E249" s="13" t="n">
        <v>15754</v>
      </c>
      <c r="F249" s="13" t="n">
        <v>75.40000000000001</v>
      </c>
      <c r="G249" s="13" t="n">
        <v>213257</v>
      </c>
      <c r="H249" s="13" t="n">
        <v>80237</v>
      </c>
      <c r="I249" s="13" t="n">
        <v>5198</v>
      </c>
      <c r="J249" s="13" t="n">
        <v>6077</v>
      </c>
      <c r="K249" s="13" t="n">
        <v>85.5</v>
      </c>
      <c r="L249" s="13" t="n">
        <v>5285</v>
      </c>
      <c r="M249" s="13" t="n">
        <v>6317</v>
      </c>
      <c r="N249" s="13" t="n">
        <v>83.7</v>
      </c>
      <c r="O249" s="13" t="n">
        <v>1137</v>
      </c>
      <c r="P249" s="13" t="n">
        <v>2545</v>
      </c>
      <c r="Q249" s="13" t="n">
        <v>44.7</v>
      </c>
      <c r="R249" s="13" t="n">
        <v>38</v>
      </c>
      <c r="S249" s="13" t="n">
        <v>46.4</v>
      </c>
      <c r="T249" s="13" t="n">
        <v>36.6</v>
      </c>
      <c r="U249" s="13" t="n">
        <v>-8.4</v>
      </c>
      <c r="V249" s="13" t="n">
        <v>379</v>
      </c>
      <c r="W249" s="13" t="n">
        <v>886</v>
      </c>
      <c r="X249" s="13" t="n">
        <v>272</v>
      </c>
      <c r="Y249" s="13" t="n">
        <v>69</v>
      </c>
      <c r="Z249" s="13" t="n">
        <v>1158</v>
      </c>
    </row>
    <row r="250" ht="15.95" customHeight="1" s="43">
      <c r="A250" s="3" t="inlineStr">
        <is>
          <t>Everton</t>
        </is>
      </c>
      <c r="B250" s="13" t="n">
        <v>26</v>
      </c>
      <c r="C250" s="13" t="n">
        <v>38</v>
      </c>
      <c r="D250" s="13" t="n">
        <v>11405</v>
      </c>
      <c r="E250" s="13" t="n">
        <v>14953</v>
      </c>
      <c r="F250" s="13" t="n">
        <v>76.3</v>
      </c>
      <c r="G250" s="13" t="n">
        <v>215027</v>
      </c>
      <c r="H250" s="13" t="n">
        <v>85013</v>
      </c>
      <c r="I250" s="13" t="n">
        <v>5039</v>
      </c>
      <c r="J250" s="13" t="n">
        <v>5809</v>
      </c>
      <c r="K250" s="13" t="n">
        <v>86.7</v>
      </c>
      <c r="L250" s="13" t="n">
        <v>4604</v>
      </c>
      <c r="M250" s="13" t="n">
        <v>5451</v>
      </c>
      <c r="N250" s="13" t="n">
        <v>84.5</v>
      </c>
      <c r="O250" s="13" t="n">
        <v>1526</v>
      </c>
      <c r="P250" s="13" t="n">
        <v>2901</v>
      </c>
      <c r="Q250" s="13" t="n">
        <v>52.6</v>
      </c>
      <c r="R250" s="13" t="n">
        <v>27</v>
      </c>
      <c r="S250" s="13" t="n">
        <v>32.2</v>
      </c>
      <c r="T250" s="13" t="n">
        <v>27.2</v>
      </c>
      <c r="U250" s="13" t="n">
        <v>-5.2</v>
      </c>
      <c r="V250" s="13" t="n">
        <v>298</v>
      </c>
      <c r="W250" s="13" t="n">
        <v>1003</v>
      </c>
      <c r="X250" s="13" t="n">
        <v>261</v>
      </c>
      <c r="Y250" s="13" t="n">
        <v>92</v>
      </c>
      <c r="Z250" s="13" t="n">
        <v>1041</v>
      </c>
    </row>
    <row r="251">
      <c r="A251" s="3" t="inlineStr">
        <is>
          <t>Fulham</t>
        </is>
      </c>
      <c r="B251" s="13" t="n">
        <v>26</v>
      </c>
      <c r="C251" s="13" t="n">
        <v>38</v>
      </c>
      <c r="D251" s="13" t="n">
        <v>16199</v>
      </c>
      <c r="E251" s="13" t="n">
        <v>19753</v>
      </c>
      <c r="F251" s="13" t="n">
        <v>82</v>
      </c>
      <c r="G251" s="13" t="n">
        <v>289508</v>
      </c>
      <c r="H251" s="13" t="n">
        <v>97635</v>
      </c>
      <c r="I251" s="13" t="n">
        <v>7195</v>
      </c>
      <c r="J251" s="13" t="n">
        <v>8007</v>
      </c>
      <c r="K251" s="13" t="n">
        <v>89.90000000000001</v>
      </c>
      <c r="L251" s="13" t="n">
        <v>7222</v>
      </c>
      <c r="M251" s="13" t="n">
        <v>8198</v>
      </c>
      <c r="N251" s="13" t="n">
        <v>88.09999999999999</v>
      </c>
      <c r="O251" s="13" t="n">
        <v>1504</v>
      </c>
      <c r="P251" s="13" t="n">
        <v>2703</v>
      </c>
      <c r="Q251" s="13" t="n">
        <v>55.6</v>
      </c>
      <c r="R251" s="13" t="n">
        <v>44</v>
      </c>
      <c r="S251" s="13" t="n">
        <v>37.5</v>
      </c>
      <c r="T251" s="13" t="n">
        <v>35</v>
      </c>
      <c r="U251" s="13" t="n">
        <v>6.5</v>
      </c>
      <c r="V251" s="13" t="n">
        <v>398</v>
      </c>
      <c r="W251" s="13" t="n">
        <v>1346</v>
      </c>
      <c r="X251" s="13" t="n">
        <v>343</v>
      </c>
      <c r="Y251" s="13" t="n">
        <v>108</v>
      </c>
      <c r="Z251" s="13" t="n">
        <v>1558</v>
      </c>
    </row>
    <row r="252">
      <c r="A252" s="3" t="inlineStr">
        <is>
          <t>Ipswich Town</t>
        </is>
      </c>
      <c r="B252" s="13" t="n">
        <v>32</v>
      </c>
      <c r="C252" s="13" t="n">
        <v>38</v>
      </c>
      <c r="D252" s="13" t="n">
        <v>11524</v>
      </c>
      <c r="E252" s="13" t="n">
        <v>14775</v>
      </c>
      <c r="F252" s="13" t="n">
        <v>78</v>
      </c>
      <c r="G252" s="13" t="n">
        <v>204832</v>
      </c>
      <c r="H252" s="13" t="n">
        <v>77912</v>
      </c>
      <c r="I252" s="13" t="n">
        <v>5157</v>
      </c>
      <c r="J252" s="13" t="n">
        <v>5835</v>
      </c>
      <c r="K252" s="13" t="n">
        <v>88.40000000000001</v>
      </c>
      <c r="L252" s="13" t="n">
        <v>5115</v>
      </c>
      <c r="M252" s="13" t="n">
        <v>5988</v>
      </c>
      <c r="N252" s="13" t="n">
        <v>85.40000000000001</v>
      </c>
      <c r="O252" s="13" t="n">
        <v>1021</v>
      </c>
      <c r="P252" s="13" t="n">
        <v>2184</v>
      </c>
      <c r="Q252" s="13" t="n">
        <v>46.7</v>
      </c>
      <c r="R252" s="13" t="n">
        <v>26</v>
      </c>
      <c r="S252" s="13" t="n">
        <v>24.2</v>
      </c>
      <c r="T252" s="13" t="n">
        <v>21.2</v>
      </c>
      <c r="U252" s="13" t="n">
        <v>1.8</v>
      </c>
      <c r="V252" s="13" t="n">
        <v>283</v>
      </c>
      <c r="W252" s="13" t="n">
        <v>865</v>
      </c>
      <c r="X252" s="13" t="n">
        <v>173</v>
      </c>
      <c r="Y252" s="13" t="n">
        <v>54</v>
      </c>
      <c r="Z252" s="13" t="n">
        <v>935</v>
      </c>
    </row>
    <row r="253" ht="17.1" customHeight="1" s="43">
      <c r="A253" s="3" t="inlineStr">
        <is>
          <t>Leicester City</t>
        </is>
      </c>
      <c r="B253" s="13" t="n">
        <v>32</v>
      </c>
      <c r="C253" s="13" t="n">
        <v>38</v>
      </c>
      <c r="D253" s="13" t="n">
        <v>13945</v>
      </c>
      <c r="E253" s="13" t="n">
        <v>17486</v>
      </c>
      <c r="F253" s="13" t="n">
        <v>79.7</v>
      </c>
      <c r="G253" s="13" t="n">
        <v>234016</v>
      </c>
      <c r="H253" s="13" t="n">
        <v>83996</v>
      </c>
      <c r="I253" s="13" t="n">
        <v>6703</v>
      </c>
      <c r="J253" s="13" t="n">
        <v>7482</v>
      </c>
      <c r="K253" s="13" t="n">
        <v>89.59999999999999</v>
      </c>
      <c r="L253" s="13" t="n">
        <v>5797</v>
      </c>
      <c r="M253" s="13" t="n">
        <v>6664</v>
      </c>
      <c r="N253" s="13" t="n">
        <v>87</v>
      </c>
      <c r="O253" s="13" t="n">
        <v>1073</v>
      </c>
      <c r="P253" s="13" t="n">
        <v>2370</v>
      </c>
      <c r="Q253" s="13" t="n">
        <v>45.3</v>
      </c>
      <c r="R253" s="13" t="n">
        <v>25</v>
      </c>
      <c r="S253" s="13" t="n">
        <v>25.1</v>
      </c>
      <c r="T253" s="13" t="n">
        <v>24.1</v>
      </c>
      <c r="U253" s="13" t="n">
        <v>-0.1</v>
      </c>
      <c r="V253" s="13" t="n">
        <v>252</v>
      </c>
      <c r="W253" s="13" t="n">
        <v>953</v>
      </c>
      <c r="X253" s="13" t="n">
        <v>216</v>
      </c>
      <c r="Y253" s="13" t="n">
        <v>67</v>
      </c>
      <c r="Z253" s="13" t="n">
        <v>1082</v>
      </c>
    </row>
    <row r="254">
      <c r="A254" s="3" t="inlineStr">
        <is>
          <t>Liverpool</t>
        </is>
      </c>
      <c r="B254" s="13" t="n">
        <v>24</v>
      </c>
      <c r="C254" s="13" t="n">
        <v>38</v>
      </c>
      <c r="D254" s="13" t="n">
        <v>18304</v>
      </c>
      <c r="E254" s="13" t="n">
        <v>21759</v>
      </c>
      <c r="F254" s="13" t="n">
        <v>84.09999999999999</v>
      </c>
      <c r="G254" s="13" t="n">
        <v>312354</v>
      </c>
      <c r="H254" s="13" t="n">
        <v>104899</v>
      </c>
      <c r="I254" s="13" t="n">
        <v>8616</v>
      </c>
      <c r="J254" s="13" t="n">
        <v>9383</v>
      </c>
      <c r="K254" s="13" t="n">
        <v>91.8</v>
      </c>
      <c r="L254" s="13" t="n">
        <v>7893</v>
      </c>
      <c r="M254" s="13" t="n">
        <v>8905</v>
      </c>
      <c r="N254" s="13" t="n">
        <v>88.59999999999999</v>
      </c>
      <c r="O254" s="13" t="n">
        <v>1412</v>
      </c>
      <c r="P254" s="13" t="n">
        <v>2550</v>
      </c>
      <c r="Q254" s="13" t="n">
        <v>55.4</v>
      </c>
      <c r="R254" s="13" t="n">
        <v>65</v>
      </c>
      <c r="S254" s="13" t="n">
        <v>61.6</v>
      </c>
      <c r="T254" s="13" t="n">
        <v>54.3</v>
      </c>
      <c r="U254" s="13" t="n">
        <v>3.4</v>
      </c>
      <c r="V254" s="13" t="n">
        <v>509</v>
      </c>
      <c r="W254" s="13" t="n">
        <v>1583</v>
      </c>
      <c r="X254" s="13" t="n">
        <v>430</v>
      </c>
      <c r="Y254" s="13" t="n">
        <v>83</v>
      </c>
      <c r="Z254" s="13" t="n">
        <v>1924</v>
      </c>
    </row>
    <row r="255">
      <c r="A255" s="3" t="inlineStr">
        <is>
          <t>Manchester City</t>
        </is>
      </c>
      <c r="B255" s="13" t="n">
        <v>30</v>
      </c>
      <c r="C255" s="13" t="n">
        <v>38</v>
      </c>
      <c r="D255" s="13" t="n">
        <v>21531</v>
      </c>
      <c r="E255" s="13" t="n">
        <v>24443</v>
      </c>
      <c r="F255" s="13" t="n">
        <v>88.09999999999999</v>
      </c>
      <c r="G255" s="13" t="n">
        <v>349984</v>
      </c>
      <c r="H255" s="13" t="n">
        <v>98901</v>
      </c>
      <c r="I255" s="13" t="n">
        <v>11071</v>
      </c>
      <c r="J255" s="13" t="n">
        <v>11923</v>
      </c>
      <c r="K255" s="13" t="n">
        <v>92.90000000000001</v>
      </c>
      <c r="L255" s="13" t="n">
        <v>8884</v>
      </c>
      <c r="M255" s="13" t="n">
        <v>9710</v>
      </c>
      <c r="N255" s="13" t="n">
        <v>91.5</v>
      </c>
      <c r="O255" s="13" t="n">
        <v>1281</v>
      </c>
      <c r="P255" s="13" t="n">
        <v>2040</v>
      </c>
      <c r="Q255" s="13" t="n">
        <v>62.8</v>
      </c>
      <c r="R255" s="13" t="n">
        <v>51</v>
      </c>
      <c r="S255" s="13" t="n">
        <v>54.2</v>
      </c>
      <c r="T255" s="13" t="n">
        <v>53.8</v>
      </c>
      <c r="U255" s="13" t="n">
        <v>-3.2</v>
      </c>
      <c r="V255" s="13" t="n">
        <v>472</v>
      </c>
      <c r="W255" s="13" t="n">
        <v>1685</v>
      </c>
      <c r="X255" s="13" t="n">
        <v>440</v>
      </c>
      <c r="Y255" s="13" t="n">
        <v>62</v>
      </c>
      <c r="Z255" s="13" t="n">
        <v>1944</v>
      </c>
    </row>
    <row r="256">
      <c r="A256" s="3" t="inlineStr">
        <is>
          <t>Manchester Utd</t>
        </is>
      </c>
      <c r="B256" s="13" t="n">
        <v>31</v>
      </c>
      <c r="C256" s="13" t="n">
        <v>38</v>
      </c>
      <c r="D256" s="13" t="n">
        <v>16837</v>
      </c>
      <c r="E256" s="13" t="n">
        <v>20415</v>
      </c>
      <c r="F256" s="13" t="n">
        <v>82.5</v>
      </c>
      <c r="G256" s="13" t="n">
        <v>278154</v>
      </c>
      <c r="H256" s="13" t="n">
        <v>89708</v>
      </c>
      <c r="I256" s="13" t="n">
        <v>8233</v>
      </c>
      <c r="J256" s="13" t="n">
        <v>9125</v>
      </c>
      <c r="K256" s="13" t="n">
        <v>90.2</v>
      </c>
      <c r="L256" s="13" t="n">
        <v>6855</v>
      </c>
      <c r="M256" s="13" t="n">
        <v>7768</v>
      </c>
      <c r="N256" s="13" t="n">
        <v>88.2</v>
      </c>
      <c r="O256" s="13" t="n">
        <v>1257</v>
      </c>
      <c r="P256" s="13" t="n">
        <v>2438</v>
      </c>
      <c r="Q256" s="13" t="n">
        <v>51.6</v>
      </c>
      <c r="R256" s="13" t="n">
        <v>29</v>
      </c>
      <c r="S256" s="13" t="n">
        <v>39.7</v>
      </c>
      <c r="T256" s="13" t="n">
        <v>35.6</v>
      </c>
      <c r="U256" s="13" t="n">
        <v>-10.7</v>
      </c>
      <c r="V256" s="13" t="n">
        <v>406</v>
      </c>
      <c r="W256" s="13" t="n">
        <v>1141</v>
      </c>
      <c r="X256" s="13" t="n">
        <v>335</v>
      </c>
      <c r="Y256" s="13" t="n">
        <v>73</v>
      </c>
      <c r="Z256" s="13" t="n">
        <v>1448</v>
      </c>
    </row>
    <row r="257">
      <c r="A257" s="3" t="inlineStr">
        <is>
          <t>Newcastle Utd</t>
        </is>
      </c>
      <c r="B257" s="13" t="n">
        <v>24</v>
      </c>
      <c r="C257" s="13" t="n">
        <v>38</v>
      </c>
      <c r="D257" s="13" t="n">
        <v>15416</v>
      </c>
      <c r="E257" s="13" t="n">
        <v>18898</v>
      </c>
      <c r="F257" s="13" t="n">
        <v>81.59999999999999</v>
      </c>
      <c r="G257" s="13" t="n">
        <v>260464</v>
      </c>
      <c r="H257" s="13" t="n">
        <v>91034</v>
      </c>
      <c r="I257" s="13" t="n">
        <v>7416</v>
      </c>
      <c r="J257" s="13" t="n">
        <v>8283</v>
      </c>
      <c r="K257" s="13" t="n">
        <v>89.5</v>
      </c>
      <c r="L257" s="13" t="n">
        <v>6475</v>
      </c>
      <c r="M257" s="13" t="n">
        <v>7373</v>
      </c>
      <c r="N257" s="13" t="n">
        <v>87.8</v>
      </c>
      <c r="O257" s="13" t="n">
        <v>1193</v>
      </c>
      <c r="P257" s="13" t="n">
        <v>2313</v>
      </c>
      <c r="Q257" s="13" t="n">
        <v>51.6</v>
      </c>
      <c r="R257" s="13" t="n">
        <v>50</v>
      </c>
      <c r="S257" s="13" t="n">
        <v>46</v>
      </c>
      <c r="T257" s="13" t="n">
        <v>42.2</v>
      </c>
      <c r="U257" s="13" t="n">
        <v>4</v>
      </c>
      <c r="V257" s="13" t="n">
        <v>399</v>
      </c>
      <c r="W257" s="13" t="n">
        <v>1149</v>
      </c>
      <c r="X257" s="13" t="n">
        <v>399</v>
      </c>
      <c r="Y257" s="13" t="n">
        <v>70</v>
      </c>
      <c r="Z257" s="13" t="n">
        <v>1595</v>
      </c>
    </row>
    <row r="258">
      <c r="A258" s="3" t="inlineStr">
        <is>
          <t>Nott'ham Forest</t>
        </is>
      </c>
      <c r="B258" s="13" t="n">
        <v>23</v>
      </c>
      <c r="C258" s="13" t="n">
        <v>38</v>
      </c>
      <c r="D258" s="13" t="n">
        <v>10822</v>
      </c>
      <c r="E258" s="13" t="n">
        <v>14366</v>
      </c>
      <c r="F258" s="13" t="n">
        <v>75.3</v>
      </c>
      <c r="G258" s="13" t="n">
        <v>185832</v>
      </c>
      <c r="H258" s="13" t="n">
        <v>74897</v>
      </c>
      <c r="I258" s="13" t="n">
        <v>5322</v>
      </c>
      <c r="J258" s="13" t="n">
        <v>6094</v>
      </c>
      <c r="K258" s="13" t="n">
        <v>87.3</v>
      </c>
      <c r="L258" s="13" t="n">
        <v>4065</v>
      </c>
      <c r="M258" s="13" t="n">
        <v>5011</v>
      </c>
      <c r="N258" s="13" t="n">
        <v>81.09999999999999</v>
      </c>
      <c r="O258" s="13" t="n">
        <v>1038</v>
      </c>
      <c r="P258" s="13" t="n">
        <v>2339</v>
      </c>
      <c r="Q258" s="13" t="n">
        <v>44.4</v>
      </c>
      <c r="R258" s="13" t="n">
        <v>42</v>
      </c>
      <c r="S258" s="13" t="n">
        <v>33</v>
      </c>
      <c r="T258" s="13" t="n">
        <v>29.9</v>
      </c>
      <c r="U258" s="13" t="n">
        <v>9</v>
      </c>
      <c r="V258" s="13" t="n">
        <v>333</v>
      </c>
      <c r="W258" s="13" t="n">
        <v>974</v>
      </c>
      <c r="X258" s="13" t="n">
        <v>241</v>
      </c>
      <c r="Y258" s="13" t="n">
        <v>64</v>
      </c>
      <c r="Z258" s="13" t="n">
        <v>1125</v>
      </c>
    </row>
    <row r="259">
      <c r="A259" s="3" t="inlineStr">
        <is>
          <t>Southampton</t>
        </is>
      </c>
      <c r="B259" s="13" t="n">
        <v>36</v>
      </c>
      <c r="C259" s="13" t="n">
        <v>38</v>
      </c>
      <c r="D259" s="13" t="n">
        <v>15530</v>
      </c>
      <c r="E259" s="13" t="n">
        <v>18561</v>
      </c>
      <c r="F259" s="13" t="n">
        <v>83.7</v>
      </c>
      <c r="G259" s="13" t="n">
        <v>263566</v>
      </c>
      <c r="H259" s="13" t="n">
        <v>84964</v>
      </c>
      <c r="I259" s="13" t="n">
        <v>7279</v>
      </c>
      <c r="J259" s="13" t="n">
        <v>7996</v>
      </c>
      <c r="K259" s="13" t="n">
        <v>91</v>
      </c>
      <c r="L259" s="13" t="n">
        <v>6699</v>
      </c>
      <c r="M259" s="13" t="n">
        <v>7455</v>
      </c>
      <c r="N259" s="13" t="n">
        <v>89.90000000000001</v>
      </c>
      <c r="O259" s="13" t="n">
        <v>1175</v>
      </c>
      <c r="P259" s="13" t="n">
        <v>2271</v>
      </c>
      <c r="Q259" s="13" t="n">
        <v>51.7</v>
      </c>
      <c r="R259" s="13" t="n">
        <v>16</v>
      </c>
      <c r="S259" s="13" t="n">
        <v>24.8</v>
      </c>
      <c r="T259" s="13" t="n">
        <v>23.9</v>
      </c>
      <c r="U259" s="13" t="n">
        <v>-8.800000000000001</v>
      </c>
      <c r="V259" s="13" t="n">
        <v>269</v>
      </c>
      <c r="W259" s="13" t="n">
        <v>989</v>
      </c>
      <c r="X259" s="13" t="n">
        <v>218</v>
      </c>
      <c r="Y259" s="13" t="n">
        <v>60</v>
      </c>
      <c r="Z259" s="13" t="n">
        <v>1127</v>
      </c>
    </row>
    <row r="260">
      <c r="A260" s="3" t="inlineStr">
        <is>
          <t>Tottenham</t>
        </is>
      </c>
      <c r="B260" s="13" t="n">
        <v>31</v>
      </c>
      <c r="C260" s="13" t="n">
        <v>38</v>
      </c>
      <c r="D260" s="13" t="n">
        <v>16513</v>
      </c>
      <c r="E260" s="13" t="n">
        <v>19960</v>
      </c>
      <c r="F260" s="13" t="n">
        <v>82.7</v>
      </c>
      <c r="G260" s="13" t="n">
        <v>275248</v>
      </c>
      <c r="H260" s="13" t="n">
        <v>93006</v>
      </c>
      <c r="I260" s="13" t="n">
        <v>7576</v>
      </c>
      <c r="J260" s="13" t="n">
        <v>8440</v>
      </c>
      <c r="K260" s="13" t="n">
        <v>89.8</v>
      </c>
      <c r="L260" s="13" t="n">
        <v>7372</v>
      </c>
      <c r="M260" s="13" t="n">
        <v>8289</v>
      </c>
      <c r="N260" s="13" t="n">
        <v>88.90000000000001</v>
      </c>
      <c r="O260" s="13" t="n">
        <v>1101</v>
      </c>
      <c r="P260" s="13" t="n">
        <v>2084</v>
      </c>
      <c r="Q260" s="13" t="n">
        <v>52.8</v>
      </c>
      <c r="R260" s="13" t="n">
        <v>47</v>
      </c>
      <c r="S260" s="13" t="n">
        <v>44.4</v>
      </c>
      <c r="T260" s="13" t="n">
        <v>36.3</v>
      </c>
      <c r="U260" s="13" t="n">
        <v>2.6</v>
      </c>
      <c r="V260" s="13" t="n">
        <v>375</v>
      </c>
      <c r="W260" s="13" t="n">
        <v>1254</v>
      </c>
      <c r="X260" s="13" t="n">
        <v>369</v>
      </c>
      <c r="Y260" s="13" t="n">
        <v>83</v>
      </c>
      <c r="Z260" s="13" t="n">
        <v>1593</v>
      </c>
    </row>
    <row r="261">
      <c r="A261" s="3" t="inlineStr">
        <is>
          <t>West Ham</t>
        </is>
      </c>
      <c r="B261" s="13" t="n">
        <v>27</v>
      </c>
      <c r="C261" s="13" t="n">
        <v>38</v>
      </c>
      <c r="D261" s="13" t="n">
        <v>14820</v>
      </c>
      <c r="E261" s="13" t="n">
        <v>18363</v>
      </c>
      <c r="F261" s="13" t="n">
        <v>80.7</v>
      </c>
      <c r="G261" s="13" t="n">
        <v>258653</v>
      </c>
      <c r="H261" s="13" t="n">
        <v>90743</v>
      </c>
      <c r="I261" s="13" t="n">
        <v>6989</v>
      </c>
      <c r="J261" s="13" t="n">
        <v>7831</v>
      </c>
      <c r="K261" s="13" t="n">
        <v>89.2</v>
      </c>
      <c r="L261" s="13" t="n">
        <v>6245</v>
      </c>
      <c r="M261" s="13" t="n">
        <v>7153</v>
      </c>
      <c r="N261" s="13" t="n">
        <v>87.3</v>
      </c>
      <c r="O261" s="13" t="n">
        <v>1346</v>
      </c>
      <c r="P261" s="13" t="n">
        <v>2580</v>
      </c>
      <c r="Q261" s="13" t="n">
        <v>52.2</v>
      </c>
      <c r="R261" s="13" t="n">
        <v>29</v>
      </c>
      <c r="S261" s="13" t="n">
        <v>33.9</v>
      </c>
      <c r="T261" s="13" t="n">
        <v>32</v>
      </c>
      <c r="U261" s="13" t="n">
        <v>-4.9</v>
      </c>
      <c r="V261" s="13" t="n">
        <v>331</v>
      </c>
      <c r="W261" s="13" t="n">
        <v>1075</v>
      </c>
      <c r="X261" s="13" t="n">
        <v>267</v>
      </c>
      <c r="Y261" s="13" t="n">
        <v>72</v>
      </c>
      <c r="Z261" s="13" t="n">
        <v>1222</v>
      </c>
    </row>
    <row r="262">
      <c r="A262" s="3" t="inlineStr">
        <is>
          <t>Wolves</t>
        </is>
      </c>
      <c r="B262" s="13" t="n">
        <v>32</v>
      </c>
      <c r="C262" s="13" t="n">
        <v>38</v>
      </c>
      <c r="D262" s="13" t="n">
        <v>14472</v>
      </c>
      <c r="E262" s="13" t="n">
        <v>17884</v>
      </c>
      <c r="F262" s="13" t="n">
        <v>80.90000000000001</v>
      </c>
      <c r="G262" s="13" t="n">
        <v>246100</v>
      </c>
      <c r="H262" s="13" t="n">
        <v>83847</v>
      </c>
      <c r="I262" s="13" t="n">
        <v>6855</v>
      </c>
      <c r="J262" s="13" t="n">
        <v>7612</v>
      </c>
      <c r="K262" s="13" t="n">
        <v>90.09999999999999</v>
      </c>
      <c r="L262" s="13" t="n">
        <v>5909</v>
      </c>
      <c r="M262" s="13" t="n">
        <v>6712</v>
      </c>
      <c r="N262" s="13" t="n">
        <v>88</v>
      </c>
      <c r="O262" s="13" t="n">
        <v>1251</v>
      </c>
      <c r="P262" s="13" t="n">
        <v>2503</v>
      </c>
      <c r="Q262" s="13" t="n">
        <v>50</v>
      </c>
      <c r="R262" s="13" t="n">
        <v>42</v>
      </c>
      <c r="S262" s="13" t="n">
        <v>35.4</v>
      </c>
      <c r="T262" s="13" t="n">
        <v>26.6</v>
      </c>
      <c r="U262" s="13" t="n">
        <v>6.6</v>
      </c>
      <c r="V262" s="13" t="n">
        <v>323</v>
      </c>
      <c r="W262" s="13" t="n">
        <v>1011</v>
      </c>
      <c r="X262" s="13" t="n">
        <v>276</v>
      </c>
      <c r="Y262" s="13" t="n">
        <v>72</v>
      </c>
      <c r="Z262" s="13" t="n">
        <v>1185</v>
      </c>
    </row>
    <row r="264">
      <c r="A264" s="45" t="inlineStr">
        <is>
          <t>Squad Passing 2024-2025 Premier League Table</t>
        </is>
      </c>
    </row>
    <row r="265" ht="18" customHeight="1" s="43">
      <c r="A265" s="44" t="n"/>
      <c r="D265" s="44" t="inlineStr">
        <is>
          <t>Total</t>
        </is>
      </c>
      <c r="I265" s="44" t="inlineStr">
        <is>
          <t>Short</t>
        </is>
      </c>
      <c r="L265" s="44" t="inlineStr">
        <is>
          <t>Medium</t>
        </is>
      </c>
      <c r="O265" s="44" t="inlineStr">
        <is>
          <t>Long</t>
        </is>
      </c>
      <c r="R265" s="44" t="n"/>
      <c r="T265" s="44" t="inlineStr">
        <is>
          <t>Expected</t>
        </is>
      </c>
      <c r="V265" s="44" t="n"/>
    </row>
    <row r="266" ht="17.1" customHeight="1" s="43">
      <c r="A266" s="44" t="inlineStr">
        <is>
          <t>Squad</t>
        </is>
      </c>
      <c r="B266" s="44" t="inlineStr">
        <is>
          <t># Pl</t>
        </is>
      </c>
      <c r="C266" s="44" t="inlineStr">
        <is>
          <t>90s</t>
        </is>
      </c>
      <c r="D266" s="44" t="inlineStr">
        <is>
          <t>Cmp</t>
        </is>
      </c>
      <c r="E266" s="44" t="inlineStr">
        <is>
          <t>Att</t>
        </is>
      </c>
      <c r="F266" s="44" t="inlineStr">
        <is>
          <t>Cmp%</t>
        </is>
      </c>
      <c r="G266" s="44" t="inlineStr">
        <is>
          <t>TotDist</t>
        </is>
      </c>
      <c r="H266" s="44" t="inlineStr">
        <is>
          <t>PrgDist</t>
        </is>
      </c>
      <c r="I266" s="44" t="inlineStr">
        <is>
          <t>Cmp</t>
        </is>
      </c>
      <c r="J266" s="44" t="inlineStr">
        <is>
          <t>Att</t>
        </is>
      </c>
      <c r="K266" s="44" t="inlineStr">
        <is>
          <t>Cmp%</t>
        </is>
      </c>
      <c r="L266" s="44" t="inlineStr">
        <is>
          <t>Cmp</t>
        </is>
      </c>
      <c r="M266" s="44" t="inlineStr">
        <is>
          <t>Att</t>
        </is>
      </c>
      <c r="N266" s="44" t="inlineStr">
        <is>
          <t>Cmp%</t>
        </is>
      </c>
      <c r="O266" s="44" t="inlineStr">
        <is>
          <t>Cmp</t>
        </is>
      </c>
      <c r="P266" s="44" t="inlineStr">
        <is>
          <t>Att</t>
        </is>
      </c>
      <c r="Q266" s="44" t="inlineStr">
        <is>
          <t>Cmp%</t>
        </is>
      </c>
      <c r="R266" s="44" t="inlineStr">
        <is>
          <t>Ast</t>
        </is>
      </c>
      <c r="S266" s="44" t="inlineStr">
        <is>
          <t>xAG</t>
        </is>
      </c>
      <c r="T266" s="44" t="inlineStr">
        <is>
          <t>xA</t>
        </is>
      </c>
      <c r="U266" s="44" t="inlineStr">
        <is>
          <t>A-xAG</t>
        </is>
      </c>
      <c r="V266" s="44" t="inlineStr">
        <is>
          <t>KP</t>
        </is>
      </c>
      <c r="W266" s="44" t="inlineStr">
        <is>
          <t>1/3</t>
        </is>
      </c>
      <c r="X266" s="44" t="inlineStr">
        <is>
          <t>PPA</t>
        </is>
      </c>
      <c r="Y266" s="44" t="inlineStr">
        <is>
          <t>CrsPA</t>
        </is>
      </c>
      <c r="Z266" s="44" t="inlineStr">
        <is>
          <t>PrgP</t>
        </is>
      </c>
    </row>
    <row r="267">
      <c r="A267" s="3" t="inlineStr">
        <is>
          <t>vs Arsenal</t>
        </is>
      </c>
      <c r="B267" s="13" t="n">
        <v>25</v>
      </c>
      <c r="C267" s="13" t="n">
        <v>38</v>
      </c>
      <c r="D267" s="13" t="n">
        <v>12192</v>
      </c>
      <c r="E267" s="13" t="n">
        <v>15255</v>
      </c>
      <c r="F267" s="13" t="n">
        <v>79.90000000000001</v>
      </c>
      <c r="G267" s="13" t="n">
        <v>214595</v>
      </c>
      <c r="H267" s="13" t="n">
        <v>73593</v>
      </c>
      <c r="I267" s="13" t="n">
        <v>5573</v>
      </c>
      <c r="J267" s="13" t="n">
        <v>6249</v>
      </c>
      <c r="K267" s="13" t="n">
        <v>89.2</v>
      </c>
      <c r="L267" s="13" t="n">
        <v>5271</v>
      </c>
      <c r="M267" s="13" t="n">
        <v>6035</v>
      </c>
      <c r="N267" s="13" t="n">
        <v>87.3</v>
      </c>
      <c r="O267" s="13" t="n">
        <v>1095</v>
      </c>
      <c r="P267" s="13" t="n">
        <v>2295</v>
      </c>
      <c r="Q267" s="13" t="n">
        <v>47.7</v>
      </c>
      <c r="R267" s="13" t="n">
        <v>24</v>
      </c>
      <c r="S267" s="13" t="n">
        <v>24.5</v>
      </c>
      <c r="T267" s="13" t="n">
        <v>24.6</v>
      </c>
      <c r="U267" s="13" t="n">
        <v>-0.5</v>
      </c>
      <c r="V267" s="13" t="n">
        <v>263</v>
      </c>
      <c r="W267" s="13" t="n">
        <v>905</v>
      </c>
      <c r="X267" s="13" t="n">
        <v>197</v>
      </c>
      <c r="Y267" s="13" t="n">
        <v>60</v>
      </c>
      <c r="Z267" s="13" t="n">
        <v>938</v>
      </c>
    </row>
    <row r="268">
      <c r="A268" s="3" t="inlineStr">
        <is>
          <t>vs Aston Villa</t>
        </is>
      </c>
      <c r="B268" s="13" t="n">
        <v>28</v>
      </c>
      <c r="C268" s="13" t="n">
        <v>38</v>
      </c>
      <c r="D268" s="13" t="n">
        <v>14438</v>
      </c>
      <c r="E268" s="13" t="n">
        <v>17377</v>
      </c>
      <c r="F268" s="13" t="n">
        <v>83.09999999999999</v>
      </c>
      <c r="G268" s="13" t="n">
        <v>249107</v>
      </c>
      <c r="H268" s="13" t="n">
        <v>83992</v>
      </c>
      <c r="I268" s="13" t="n">
        <v>6870</v>
      </c>
      <c r="J268" s="13" t="n">
        <v>7487</v>
      </c>
      <c r="K268" s="13" t="n">
        <v>91.8</v>
      </c>
      <c r="L268" s="13" t="n">
        <v>5962</v>
      </c>
      <c r="M268" s="13" t="n">
        <v>6755</v>
      </c>
      <c r="N268" s="13" t="n">
        <v>88.3</v>
      </c>
      <c r="O268" s="13" t="n">
        <v>1278</v>
      </c>
      <c r="P268" s="13" t="n">
        <v>2286</v>
      </c>
      <c r="Q268" s="13" t="n">
        <v>55.9</v>
      </c>
      <c r="R268" s="13" t="n">
        <v>36</v>
      </c>
      <c r="S268" s="13" t="n">
        <v>36.4</v>
      </c>
      <c r="T268" s="13" t="n">
        <v>35.8</v>
      </c>
      <c r="U268" s="13" t="n">
        <v>-0.4</v>
      </c>
      <c r="V268" s="13" t="n">
        <v>336</v>
      </c>
      <c r="W268" s="13" t="n">
        <v>1189</v>
      </c>
      <c r="X268" s="13" t="n">
        <v>295</v>
      </c>
      <c r="Y268" s="13" t="n">
        <v>81</v>
      </c>
      <c r="Z268" s="13" t="n">
        <v>1315</v>
      </c>
    </row>
    <row r="269" ht="15.75" customHeight="1" s="43">
      <c r="A269" s="3" t="inlineStr">
        <is>
          <t>vs Bournemouth</t>
        </is>
      </c>
      <c r="B269" s="13" t="n">
        <v>29</v>
      </c>
      <c r="C269" s="13" t="n">
        <v>38</v>
      </c>
      <c r="D269" s="13" t="n">
        <v>14072</v>
      </c>
      <c r="E269" s="13" t="n">
        <v>18037</v>
      </c>
      <c r="F269" s="13" t="n">
        <v>78</v>
      </c>
      <c r="G269" s="13" t="n">
        <v>239562</v>
      </c>
      <c r="H269" s="13" t="n">
        <v>94618</v>
      </c>
      <c r="I269" s="13" t="n">
        <v>6832</v>
      </c>
      <c r="J269" s="13" t="n">
        <v>7804</v>
      </c>
      <c r="K269" s="13" t="n">
        <v>87.5</v>
      </c>
      <c r="L269" s="13" t="n">
        <v>5701</v>
      </c>
      <c r="M269" s="13" t="n">
        <v>6768</v>
      </c>
      <c r="N269" s="13" t="n">
        <v>84.2</v>
      </c>
      <c r="O269" s="13" t="n">
        <v>1179</v>
      </c>
      <c r="P269" s="13" t="n">
        <v>2500</v>
      </c>
      <c r="Q269" s="13" t="n">
        <v>47.2</v>
      </c>
      <c r="R269" s="13" t="n">
        <v>36</v>
      </c>
      <c r="S269" s="13" t="n">
        <v>36.5</v>
      </c>
      <c r="T269" s="13" t="n">
        <v>36.3</v>
      </c>
      <c r="U269" s="13" t="n">
        <v>-0.5</v>
      </c>
      <c r="V269" s="13" t="n">
        <v>369</v>
      </c>
      <c r="W269" s="13" t="n">
        <v>1012</v>
      </c>
      <c r="X269" s="13" t="n">
        <v>334</v>
      </c>
      <c r="Y269" s="13" t="n">
        <v>66</v>
      </c>
      <c r="Z269" s="13" t="n">
        <v>1295</v>
      </c>
    </row>
    <row r="270">
      <c r="A270" s="3" t="inlineStr">
        <is>
          <t>vs Brentford</t>
        </is>
      </c>
      <c r="B270" s="13" t="n">
        <v>28</v>
      </c>
      <c r="C270" s="13" t="n">
        <v>38</v>
      </c>
      <c r="D270" s="13" t="n">
        <v>15047</v>
      </c>
      <c r="E270" s="13" t="n">
        <v>18708</v>
      </c>
      <c r="F270" s="13" t="n">
        <v>80.40000000000001</v>
      </c>
      <c r="G270" s="13" t="n">
        <v>255472</v>
      </c>
      <c r="H270" s="13" t="n">
        <v>89605</v>
      </c>
      <c r="I270" s="13" t="n">
        <v>7373</v>
      </c>
      <c r="J270" s="13" t="n">
        <v>8191</v>
      </c>
      <c r="K270" s="13" t="n">
        <v>90</v>
      </c>
      <c r="L270" s="13" t="n">
        <v>6137</v>
      </c>
      <c r="M270" s="13" t="n">
        <v>7122</v>
      </c>
      <c r="N270" s="13" t="n">
        <v>86.2</v>
      </c>
      <c r="O270" s="13" t="n">
        <v>1248</v>
      </c>
      <c r="P270" s="13" t="n">
        <v>2566</v>
      </c>
      <c r="Q270" s="13" t="n">
        <v>48.6</v>
      </c>
      <c r="R270" s="13" t="n">
        <v>42</v>
      </c>
      <c r="S270" s="13" t="n">
        <v>43.3</v>
      </c>
      <c r="T270" s="13" t="n">
        <v>41.8</v>
      </c>
      <c r="U270" s="13" t="n">
        <v>-1.3</v>
      </c>
      <c r="V270" s="13" t="n">
        <v>501</v>
      </c>
      <c r="W270" s="13" t="n">
        <v>1279</v>
      </c>
      <c r="X270" s="13" t="n">
        <v>430</v>
      </c>
      <c r="Y270" s="13" t="n">
        <v>92</v>
      </c>
      <c r="Z270" s="13" t="n">
        <v>1562</v>
      </c>
    </row>
    <row r="271" ht="18" customHeight="1" s="43">
      <c r="A271" s="3" t="inlineStr">
        <is>
          <t>vs Brighton</t>
        </is>
      </c>
      <c r="B271" s="13" t="n">
        <v>32</v>
      </c>
      <c r="C271" s="13" t="n">
        <v>38</v>
      </c>
      <c r="D271" s="13" t="n">
        <v>14240</v>
      </c>
      <c r="E271" s="13" t="n">
        <v>17647</v>
      </c>
      <c r="F271" s="13" t="n">
        <v>80.7</v>
      </c>
      <c r="G271" s="13" t="n">
        <v>253402</v>
      </c>
      <c r="H271" s="13" t="n">
        <v>87854</v>
      </c>
      <c r="I271" s="13" t="n">
        <v>6260</v>
      </c>
      <c r="J271" s="13" t="n">
        <v>6967</v>
      </c>
      <c r="K271" s="13" t="n">
        <v>89.90000000000001</v>
      </c>
      <c r="L271" s="13" t="n">
        <v>6537</v>
      </c>
      <c r="M271" s="13" t="n">
        <v>7370</v>
      </c>
      <c r="N271" s="13" t="n">
        <v>88.7</v>
      </c>
      <c r="O271" s="13" t="n">
        <v>1220</v>
      </c>
      <c r="P271" s="13" t="n">
        <v>2475</v>
      </c>
      <c r="Q271" s="13" t="n">
        <v>49.3</v>
      </c>
      <c r="R271" s="13" t="n">
        <v>39</v>
      </c>
      <c r="S271" s="13" t="n">
        <v>41.3</v>
      </c>
      <c r="T271" s="13" t="n">
        <v>30.2</v>
      </c>
      <c r="U271" s="13" t="n">
        <v>-2.3</v>
      </c>
      <c r="V271" s="13" t="n">
        <v>333</v>
      </c>
      <c r="W271" s="13" t="n">
        <v>1004</v>
      </c>
      <c r="X271" s="13" t="n">
        <v>248</v>
      </c>
      <c r="Y271" s="13" t="n">
        <v>44</v>
      </c>
      <c r="Z271" s="13" t="n">
        <v>1209</v>
      </c>
    </row>
    <row r="272" ht="18" customHeight="1" s="43">
      <c r="A272" s="3" t="inlineStr">
        <is>
          <t>vs Chelsea</t>
        </is>
      </c>
      <c r="B272" s="13" t="n">
        <v>29</v>
      </c>
      <c r="C272" s="13" t="n">
        <v>38</v>
      </c>
      <c r="D272" s="13" t="n">
        <v>13008</v>
      </c>
      <c r="E272" s="13" t="n">
        <v>16240</v>
      </c>
      <c r="F272" s="13" t="n">
        <v>80.09999999999999</v>
      </c>
      <c r="G272" s="13" t="n">
        <v>225986</v>
      </c>
      <c r="H272" s="13" t="n">
        <v>83133</v>
      </c>
      <c r="I272" s="13" t="n">
        <v>6079</v>
      </c>
      <c r="J272" s="13" t="n">
        <v>6788</v>
      </c>
      <c r="K272" s="13" t="n">
        <v>89.59999999999999</v>
      </c>
      <c r="L272" s="13" t="n">
        <v>5545</v>
      </c>
      <c r="M272" s="13" t="n">
        <v>6338</v>
      </c>
      <c r="N272" s="13" t="n">
        <v>87.5</v>
      </c>
      <c r="O272" s="13" t="n">
        <v>1116</v>
      </c>
      <c r="P272" s="13" t="n">
        <v>2317</v>
      </c>
      <c r="Q272" s="13" t="n">
        <v>48.2</v>
      </c>
      <c r="R272" s="13" t="n">
        <v>33</v>
      </c>
      <c r="S272" s="13" t="n">
        <v>35.3</v>
      </c>
      <c r="T272" s="13" t="n">
        <v>29.4</v>
      </c>
      <c r="U272" s="13" t="n">
        <v>-2.3</v>
      </c>
      <c r="V272" s="13" t="n">
        <v>283</v>
      </c>
      <c r="W272" s="13" t="n">
        <v>929</v>
      </c>
      <c r="X272" s="13" t="n">
        <v>255</v>
      </c>
      <c r="Y272" s="13" t="n">
        <v>62</v>
      </c>
      <c r="Z272" s="13" t="n">
        <v>1206</v>
      </c>
    </row>
    <row r="273" ht="17.1" customHeight="1" s="43">
      <c r="A273" s="3" t="inlineStr">
        <is>
          <t>vs Crystal Palace</t>
        </is>
      </c>
      <c r="B273" s="13" t="n">
        <v>29</v>
      </c>
      <c r="C273" s="13" t="n">
        <v>38</v>
      </c>
      <c r="D273" s="13" t="n">
        <v>17325</v>
      </c>
      <c r="E273" s="13" t="n">
        <v>21227</v>
      </c>
      <c r="F273" s="13" t="n">
        <v>81.59999999999999</v>
      </c>
      <c r="G273" s="13" t="n">
        <v>304572</v>
      </c>
      <c r="H273" s="13" t="n">
        <v>101974</v>
      </c>
      <c r="I273" s="13" t="n">
        <v>7542</v>
      </c>
      <c r="J273" s="13" t="n">
        <v>8554</v>
      </c>
      <c r="K273" s="13" t="n">
        <v>88.2</v>
      </c>
      <c r="L273" s="13" t="n">
        <v>7895</v>
      </c>
      <c r="M273" s="13" t="n">
        <v>8939</v>
      </c>
      <c r="N273" s="13" t="n">
        <v>88.3</v>
      </c>
      <c r="O273" s="13" t="n">
        <v>1520</v>
      </c>
      <c r="P273" s="13" t="n">
        <v>2707</v>
      </c>
      <c r="Q273" s="13" t="n">
        <v>56.2</v>
      </c>
      <c r="R273" s="13" t="n">
        <v>39</v>
      </c>
      <c r="S273" s="13" t="n">
        <v>38.5</v>
      </c>
      <c r="T273" s="13" t="n">
        <v>34.4</v>
      </c>
      <c r="U273" s="13" t="n">
        <v>0.5</v>
      </c>
      <c r="V273" s="13" t="n">
        <v>373</v>
      </c>
      <c r="W273" s="13" t="n">
        <v>1360</v>
      </c>
      <c r="X273" s="13" t="n">
        <v>301</v>
      </c>
      <c r="Y273" s="13" t="n">
        <v>73</v>
      </c>
      <c r="Z273" s="13" t="n">
        <v>1578</v>
      </c>
    </row>
    <row r="274" ht="63" customHeight="1" s="43">
      <c r="A274" s="3" t="inlineStr">
        <is>
          <t>vs Everton</t>
        </is>
      </c>
      <c r="B274" s="13" t="n">
        <v>26</v>
      </c>
      <c r="C274" s="13" t="n">
        <v>38</v>
      </c>
      <c r="D274" s="13" t="n">
        <v>17944</v>
      </c>
      <c r="E274" s="13" t="n">
        <v>21623</v>
      </c>
      <c r="F274" s="13" t="n">
        <v>83</v>
      </c>
      <c r="G274" s="13" t="n">
        <v>306074</v>
      </c>
      <c r="H274" s="13" t="n">
        <v>100829</v>
      </c>
      <c r="I274" s="13" t="n">
        <v>8349</v>
      </c>
      <c r="J274" s="13" t="n">
        <v>9200</v>
      </c>
      <c r="K274" s="13" t="n">
        <v>90.8</v>
      </c>
      <c r="L274" s="13" t="n">
        <v>7862</v>
      </c>
      <c r="M274" s="13" t="n">
        <v>8874</v>
      </c>
      <c r="N274" s="13" t="n">
        <v>88.59999999999999</v>
      </c>
      <c r="O274" s="13" t="n">
        <v>1365</v>
      </c>
      <c r="P274" s="13" t="n">
        <v>2627</v>
      </c>
      <c r="Q274" s="13" t="n">
        <v>52</v>
      </c>
      <c r="R274" s="13" t="n">
        <v>35</v>
      </c>
      <c r="S274" s="13" t="n">
        <v>34.6</v>
      </c>
      <c r="T274" s="13" t="n">
        <v>34.2</v>
      </c>
      <c r="U274" s="13" t="n">
        <v>0.4</v>
      </c>
      <c r="V274" s="13" t="n">
        <v>361</v>
      </c>
      <c r="W274" s="13" t="n">
        <v>1368</v>
      </c>
      <c r="X274" s="13" t="n">
        <v>331</v>
      </c>
      <c r="Y274" s="13" t="n">
        <v>76</v>
      </c>
      <c r="Z274" s="13" t="n">
        <v>1627</v>
      </c>
      <c r="AJ274" s="20" t="inlineStr">
        <is>
          <t>Goals Per Shot On Target</t>
        </is>
      </c>
      <c r="AK274" s="20" t="inlineStr">
        <is>
          <t>Goals Per Shot</t>
        </is>
      </c>
      <c r="AL274" s="20" t="inlineStr">
        <is>
          <t>Shots On Target Per Game</t>
        </is>
      </c>
      <c r="AM274" s="20" t="inlineStr">
        <is>
          <t>Percentage Of Shots That Are On Target</t>
        </is>
      </c>
    </row>
    <row r="275">
      <c r="A275" s="3" t="inlineStr">
        <is>
          <t>vs Fulham</t>
        </is>
      </c>
      <c r="B275" s="13" t="n">
        <v>26</v>
      </c>
      <c r="C275" s="13" t="n">
        <v>38</v>
      </c>
      <c r="D275" s="13" t="n">
        <v>14692</v>
      </c>
      <c r="E275" s="13" t="n">
        <v>18069</v>
      </c>
      <c r="F275" s="13" t="n">
        <v>81.3</v>
      </c>
      <c r="G275" s="13" t="n">
        <v>250460</v>
      </c>
      <c r="H275" s="13" t="n">
        <v>87331</v>
      </c>
      <c r="I275" s="13" t="n">
        <v>6948</v>
      </c>
      <c r="J275" s="13" t="n">
        <v>7706</v>
      </c>
      <c r="K275" s="13" t="n">
        <v>90.2</v>
      </c>
      <c r="L275" s="13" t="n">
        <v>6126</v>
      </c>
      <c r="M275" s="13" t="n">
        <v>7060</v>
      </c>
      <c r="N275" s="13" t="n">
        <v>86.8</v>
      </c>
      <c r="O275" s="13" t="n">
        <v>1212</v>
      </c>
      <c r="P275" s="13" t="n">
        <v>2371</v>
      </c>
      <c r="Q275" s="13" t="n">
        <v>51.1</v>
      </c>
      <c r="R275" s="13" t="n">
        <v>40</v>
      </c>
      <c r="S275" s="13" t="n">
        <v>34.4</v>
      </c>
      <c r="T275" s="13" t="n">
        <v>30</v>
      </c>
      <c r="U275" s="13" t="n">
        <v>5.6</v>
      </c>
      <c r="V275" s="13" t="n">
        <v>304</v>
      </c>
      <c r="W275" s="13" t="n">
        <v>1144</v>
      </c>
      <c r="X275" s="13" t="n">
        <v>279</v>
      </c>
      <c r="Y275" s="13" t="n">
        <v>65</v>
      </c>
      <c r="Z275" s="13" t="n">
        <v>1396</v>
      </c>
      <c r="AI275">
        <f>VLOOKUP(A275,Helpers!$B$4:$C$34,2,0)</f>
        <v/>
      </c>
      <c r="AJ275">
        <f>IF(IF(COUNTIF(AR$275:AR$294,AR275)&gt;1,TRUE,FALSE),"T"&amp;AR275,AR275)</f>
        <v/>
      </c>
      <c r="AK275">
        <f>IF(IF(COUNTIF(AS$275:AS$294,AS275)&gt;1,TRUE,FALSE),"T"&amp;AS275,AS275)</f>
        <v/>
      </c>
      <c r="AL275">
        <f>IF(IF(COUNTIF(AT$275:AT$294,AT275)&gt;1,TRUE,FALSE),"T"&amp;AT275,AT275)</f>
        <v/>
      </c>
      <c r="AM275">
        <f>IF(IF(COUNTIF(AU$275:AU$294,AU275)&gt;1,TRUE,FALSE),"T"&amp;AU275,AU275)</f>
        <v/>
      </c>
      <c r="AR275">
        <f>RANK(K275,K$275:K$294)</f>
        <v/>
      </c>
      <c r="AS275">
        <f>RANK(J275,J$275:J$294)</f>
        <v/>
      </c>
      <c r="AT275">
        <f>RANK(I275,I$275:I$294)</f>
        <v/>
      </c>
      <c r="AU275">
        <f>RANK(G275,G$275:G$294)</f>
        <v/>
      </c>
    </row>
    <row r="276">
      <c r="A276" s="3" t="inlineStr">
        <is>
          <t>vs Ipswich Town</t>
        </is>
      </c>
      <c r="B276" s="13" t="n">
        <v>32</v>
      </c>
      <c r="C276" s="13" t="n">
        <v>38</v>
      </c>
      <c r="D276" s="13" t="n">
        <v>18380</v>
      </c>
      <c r="E276" s="13" t="n">
        <v>21940</v>
      </c>
      <c r="F276" s="13" t="n">
        <v>83.8</v>
      </c>
      <c r="G276" s="13" t="n">
        <v>312842</v>
      </c>
      <c r="H276" s="13" t="n">
        <v>97353</v>
      </c>
      <c r="I276" s="13" t="n">
        <v>8645</v>
      </c>
      <c r="J276" s="13" t="n">
        <v>9483</v>
      </c>
      <c r="K276" s="13" t="n">
        <v>91.2</v>
      </c>
      <c r="L276" s="13" t="n">
        <v>8006</v>
      </c>
      <c r="M276" s="13" t="n">
        <v>8968</v>
      </c>
      <c r="N276" s="13" t="n">
        <v>89.3</v>
      </c>
      <c r="O276" s="13" t="n">
        <v>1365</v>
      </c>
      <c r="P276" s="13" t="n">
        <v>2612</v>
      </c>
      <c r="Q276" s="13" t="n">
        <v>52.3</v>
      </c>
      <c r="R276" s="13" t="n">
        <v>55</v>
      </c>
      <c r="S276" s="13" t="n">
        <v>53.5</v>
      </c>
      <c r="T276" s="13" t="n">
        <v>47.9</v>
      </c>
      <c r="U276" s="13" t="n">
        <v>1.5</v>
      </c>
      <c r="V276" s="13" t="n">
        <v>456</v>
      </c>
      <c r="W276" s="13" t="n">
        <v>1449</v>
      </c>
      <c r="X276" s="13" t="n">
        <v>417</v>
      </c>
      <c r="Y276" s="13" t="n">
        <v>97</v>
      </c>
      <c r="Z276" s="13" t="n">
        <v>1726</v>
      </c>
      <c r="AI276">
        <f>VLOOKUP(A276,Helpers!$B$4:$C$34,2,0)</f>
        <v/>
      </c>
      <c r="AJ276">
        <f>IF(IF(COUNTIF(AR$275:AR$294,AR276)&gt;1,TRUE,FALSE),"T"&amp;AR276,AR276)</f>
        <v/>
      </c>
      <c r="AK276">
        <f>IF(IF(COUNTIF(AS$275:AS$294,AS276)&gt;1,TRUE,FALSE),"T"&amp;AS276,AS276)</f>
        <v/>
      </c>
      <c r="AL276">
        <f>IF(IF(COUNTIF(AT$275:AT$294,AT276)&gt;1,TRUE,FALSE),"T"&amp;AT276,AT276)</f>
        <v/>
      </c>
      <c r="AM276">
        <f>IF(IF(COUNTIF(AU$275:AU$294,AU276)&gt;1,TRUE,FALSE),"T"&amp;AU276,AU276)</f>
        <v/>
      </c>
      <c r="AR276">
        <f>RANK(K276,K$275:K$294)</f>
        <v/>
      </c>
      <c r="AS276">
        <f>RANK(J276,J$275:J$294)</f>
        <v/>
      </c>
      <c r="AT276">
        <f>RANK(I276,I$275:I$294)</f>
        <v/>
      </c>
      <c r="AU276">
        <f>RANK(G276,G$275:G$294)</f>
        <v/>
      </c>
    </row>
    <row r="277" ht="17.1" customHeight="1" s="43">
      <c r="A277" s="3" t="inlineStr">
        <is>
          <t>vs Leicester City</t>
        </is>
      </c>
      <c r="B277" s="13" t="n">
        <v>32</v>
      </c>
      <c r="C277" s="13" t="n">
        <v>38</v>
      </c>
      <c r="D277" s="13" t="n">
        <v>17576</v>
      </c>
      <c r="E277" s="13" t="n">
        <v>21079</v>
      </c>
      <c r="F277" s="13" t="n">
        <v>83.40000000000001</v>
      </c>
      <c r="G277" s="13" t="n">
        <v>302665</v>
      </c>
      <c r="H277" s="13" t="n">
        <v>99007</v>
      </c>
      <c r="I277" s="13" t="n">
        <v>8208</v>
      </c>
      <c r="J277" s="13" t="n">
        <v>9124</v>
      </c>
      <c r="K277" s="13" t="n">
        <v>90</v>
      </c>
      <c r="L277" s="13" t="n">
        <v>7627</v>
      </c>
      <c r="M277" s="13" t="n">
        <v>8620</v>
      </c>
      <c r="N277" s="13" t="n">
        <v>88.5</v>
      </c>
      <c r="O277" s="13" t="n">
        <v>1431</v>
      </c>
      <c r="P277" s="13" t="n">
        <v>2419</v>
      </c>
      <c r="Q277" s="13" t="n">
        <v>59.2</v>
      </c>
      <c r="R277" s="13" t="n">
        <v>57</v>
      </c>
      <c r="S277" s="13" t="n">
        <v>52.2</v>
      </c>
      <c r="T277" s="13" t="n">
        <v>51.2</v>
      </c>
      <c r="U277" s="13" t="n">
        <v>4.8</v>
      </c>
      <c r="V277" s="13" t="n">
        <v>490</v>
      </c>
      <c r="W277" s="13" t="n">
        <v>1418</v>
      </c>
      <c r="X277" s="13" t="n">
        <v>435</v>
      </c>
      <c r="Y277" s="13" t="n">
        <v>109</v>
      </c>
      <c r="Z277" s="13" t="n">
        <v>1755</v>
      </c>
      <c r="AI277">
        <f>VLOOKUP(A277,Helpers!$B$4:$C$34,2,0)</f>
        <v/>
      </c>
      <c r="AJ277">
        <f>IF(IF(COUNTIF(AR$275:AR$294,AR277)&gt;1,TRUE,FALSE),"T"&amp;AR277,AR277)</f>
        <v/>
      </c>
      <c r="AK277">
        <f>IF(IF(COUNTIF(AS$275:AS$294,AS277)&gt;1,TRUE,FALSE),"T"&amp;AS277,AS277)</f>
        <v/>
      </c>
      <c r="AL277">
        <f>IF(IF(COUNTIF(AT$275:AT$294,AT277)&gt;1,TRUE,FALSE),"T"&amp;AT277,AT277)</f>
        <v/>
      </c>
      <c r="AM277">
        <f>IF(IF(COUNTIF(AU$275:AU$294,AU277)&gt;1,TRUE,FALSE),"T"&amp;AU277,AU277)</f>
        <v/>
      </c>
      <c r="AR277">
        <f>RANK(K277,K$275:K$294)</f>
        <v/>
      </c>
      <c r="AS277">
        <f>RANK(J277,J$275:J$294)</f>
        <v/>
      </c>
      <c r="AT277">
        <f>RANK(I277,I$275:I$294)</f>
        <v/>
      </c>
      <c r="AU277">
        <f>RANK(G277,G$275:G$294)</f>
        <v/>
      </c>
    </row>
    <row r="278">
      <c r="A278" s="3" t="inlineStr">
        <is>
          <t>vs Liverpool</t>
        </is>
      </c>
      <c r="B278" s="13" t="n">
        <v>24</v>
      </c>
      <c r="C278" s="13" t="n">
        <v>38</v>
      </c>
      <c r="D278" s="13" t="n">
        <v>12622</v>
      </c>
      <c r="E278" s="13" t="n">
        <v>15957</v>
      </c>
      <c r="F278" s="13" t="n">
        <v>79.09999999999999</v>
      </c>
      <c r="G278" s="13" t="n">
        <v>216073</v>
      </c>
      <c r="H278" s="13" t="n">
        <v>79156</v>
      </c>
      <c r="I278" s="13" t="n">
        <v>5991</v>
      </c>
      <c r="J278" s="13" t="n">
        <v>6722</v>
      </c>
      <c r="K278" s="13" t="n">
        <v>89.09999999999999</v>
      </c>
      <c r="L278" s="13" t="n">
        <v>5211</v>
      </c>
      <c r="M278" s="13" t="n">
        <v>6052</v>
      </c>
      <c r="N278" s="13" t="n">
        <v>86.09999999999999</v>
      </c>
      <c r="O278" s="13" t="n">
        <v>1078</v>
      </c>
      <c r="P278" s="13" t="n">
        <v>2250</v>
      </c>
      <c r="Q278" s="13" t="n">
        <v>47.9</v>
      </c>
      <c r="R278" s="13" t="n">
        <v>28</v>
      </c>
      <c r="S278" s="13" t="n">
        <v>29.4</v>
      </c>
      <c r="T278" s="13" t="n">
        <v>25.2</v>
      </c>
      <c r="U278" s="13" t="n">
        <v>-1.4</v>
      </c>
      <c r="V278" s="13" t="n">
        <v>283</v>
      </c>
      <c r="W278" s="13" t="n">
        <v>842</v>
      </c>
      <c r="X278" s="13" t="n">
        <v>210</v>
      </c>
      <c r="Y278" s="13" t="n">
        <v>49</v>
      </c>
      <c r="Z278" s="13" t="n">
        <v>1091</v>
      </c>
      <c r="AI278">
        <f>VLOOKUP(A278,Helpers!$B$4:$C$34,2,0)</f>
        <v/>
      </c>
      <c r="AJ278">
        <f>IF(IF(COUNTIF(AR$275:AR$294,AR278)&gt;1,TRUE,FALSE),"T"&amp;AR278,AR278)</f>
        <v/>
      </c>
      <c r="AK278">
        <f>IF(IF(COUNTIF(AS$275:AS$294,AS278)&gt;1,TRUE,FALSE),"T"&amp;AS278,AS278)</f>
        <v/>
      </c>
      <c r="AL278">
        <f>IF(IF(COUNTIF(AT$275:AT$294,AT278)&gt;1,TRUE,FALSE),"T"&amp;AT278,AT278)</f>
        <v/>
      </c>
      <c r="AM278">
        <f>IF(IF(COUNTIF(AU$275:AU$294,AU278)&gt;1,TRUE,FALSE),"T"&amp;AU278,AU278)</f>
        <v/>
      </c>
      <c r="AR278">
        <f>RANK(K278,K$275:K$294)</f>
        <v/>
      </c>
      <c r="AS278">
        <f>RANK(J278,J$275:J$294)</f>
        <v/>
      </c>
      <c r="AT278">
        <f>RANK(I278,I$275:I$294)</f>
        <v/>
      </c>
      <c r="AU278">
        <f>RANK(G278,G$275:G$294)</f>
        <v/>
      </c>
    </row>
    <row r="279">
      <c r="A279" s="3" t="inlineStr">
        <is>
          <t>vs Manchester City</t>
        </is>
      </c>
      <c r="B279" s="13" t="n">
        <v>30</v>
      </c>
      <c r="C279" s="13" t="n">
        <v>38</v>
      </c>
      <c r="D279" s="13" t="n">
        <v>12668</v>
      </c>
      <c r="E279" s="13" t="n">
        <v>15459</v>
      </c>
      <c r="F279" s="13" t="n">
        <v>81.90000000000001</v>
      </c>
      <c r="G279" s="13" t="n">
        <v>221100</v>
      </c>
      <c r="H279" s="13" t="n">
        <v>77112</v>
      </c>
      <c r="I279" s="13" t="n">
        <v>5940</v>
      </c>
      <c r="J279" s="13" t="n">
        <v>6537</v>
      </c>
      <c r="K279" s="13" t="n">
        <v>90.90000000000001</v>
      </c>
      <c r="L279" s="13" t="n">
        <v>5254</v>
      </c>
      <c r="M279" s="13" t="n">
        <v>5900</v>
      </c>
      <c r="N279" s="13" t="n">
        <v>89.09999999999999</v>
      </c>
      <c r="O279" s="13" t="n">
        <v>1184</v>
      </c>
      <c r="P279" s="13" t="n">
        <v>2251</v>
      </c>
      <c r="Q279" s="13" t="n">
        <v>52.6</v>
      </c>
      <c r="R279" s="13" t="n">
        <v>32</v>
      </c>
      <c r="S279" s="13" t="n">
        <v>37.2</v>
      </c>
      <c r="T279" s="13" t="n">
        <v>29.4</v>
      </c>
      <c r="U279" s="13" t="n">
        <v>-5.2</v>
      </c>
      <c r="V279" s="13" t="n">
        <v>277</v>
      </c>
      <c r="W279" s="13" t="n">
        <v>784</v>
      </c>
      <c r="X279" s="13" t="n">
        <v>248</v>
      </c>
      <c r="Y279" s="13" t="n">
        <v>78</v>
      </c>
      <c r="Z279" s="13" t="n">
        <v>912</v>
      </c>
      <c r="AI279">
        <f>VLOOKUP(A279,Helpers!$B$4:$C$34,2,0)</f>
        <v/>
      </c>
      <c r="AJ279">
        <f>IF(IF(COUNTIF(AR$275:AR$294,AR279)&gt;1,TRUE,FALSE),"T"&amp;AR279,AR279)</f>
        <v/>
      </c>
      <c r="AK279">
        <f>IF(IF(COUNTIF(AS$275:AS$294,AS279)&gt;1,TRUE,FALSE),"T"&amp;AS279,AS279)</f>
        <v/>
      </c>
      <c r="AL279">
        <f>IF(IF(COUNTIF(AT$275:AT$294,AT279)&gt;1,TRUE,FALSE),"T"&amp;AT279,AT279)</f>
        <v/>
      </c>
      <c r="AM279">
        <f>IF(IF(COUNTIF(AU$275:AU$294,AU279)&gt;1,TRUE,FALSE),"T"&amp;AU279,AU279)</f>
        <v/>
      </c>
      <c r="AR279">
        <f>RANK(K279,K$275:K$294)</f>
        <v/>
      </c>
      <c r="AS279">
        <f>RANK(J279,J$275:J$294)</f>
        <v/>
      </c>
      <c r="AT279">
        <f>RANK(I279,I$275:I$294)</f>
        <v/>
      </c>
      <c r="AU279">
        <f>RANK(G279,G$275:G$294)</f>
        <v/>
      </c>
    </row>
    <row r="280">
      <c r="A280" s="3" t="inlineStr">
        <is>
          <t>vs Manchester Utd</t>
        </is>
      </c>
      <c r="B280" s="13" t="n">
        <v>31</v>
      </c>
      <c r="C280" s="13" t="n">
        <v>38</v>
      </c>
      <c r="D280" s="13" t="n">
        <v>14277</v>
      </c>
      <c r="E280" s="13" t="n">
        <v>17770</v>
      </c>
      <c r="F280" s="13" t="n">
        <v>80.3</v>
      </c>
      <c r="G280" s="13" t="n">
        <v>237786</v>
      </c>
      <c r="H280" s="13" t="n">
        <v>82285</v>
      </c>
      <c r="I280" s="13" t="n">
        <v>6938</v>
      </c>
      <c r="J280" s="13" t="n">
        <v>7804</v>
      </c>
      <c r="K280" s="13" t="n">
        <v>88.90000000000001</v>
      </c>
      <c r="L280" s="13" t="n">
        <v>5842</v>
      </c>
      <c r="M280" s="13" t="n">
        <v>6729</v>
      </c>
      <c r="N280" s="13" t="n">
        <v>86.8</v>
      </c>
      <c r="O280" s="13" t="n">
        <v>1071</v>
      </c>
      <c r="P280" s="13" t="n">
        <v>2230</v>
      </c>
      <c r="Q280" s="13" t="n">
        <v>48</v>
      </c>
      <c r="R280" s="13" t="n">
        <v>36</v>
      </c>
      <c r="S280" s="13" t="n">
        <v>38.4</v>
      </c>
      <c r="T280" s="13" t="n">
        <v>32.2</v>
      </c>
      <c r="U280" s="13" t="n">
        <v>-2.4</v>
      </c>
      <c r="V280" s="13" t="n">
        <v>309</v>
      </c>
      <c r="W280" s="13" t="n">
        <v>1064</v>
      </c>
      <c r="X280" s="13" t="n">
        <v>239</v>
      </c>
      <c r="Y280" s="13" t="n">
        <v>59</v>
      </c>
      <c r="Z280" s="13" t="n">
        <v>1184</v>
      </c>
      <c r="AI280">
        <f>VLOOKUP(A280,Helpers!$B$4:$C$34,2,0)</f>
        <v/>
      </c>
      <c r="AJ280">
        <f>IF(IF(COUNTIF(AR$275:AR$294,AR280)&gt;1,TRUE,FALSE),"T"&amp;AR280,AR280)</f>
        <v/>
      </c>
      <c r="AK280">
        <f>IF(IF(COUNTIF(AS$275:AS$294,AS280)&gt;1,TRUE,FALSE),"T"&amp;AS280,AS280)</f>
        <v/>
      </c>
      <c r="AL280">
        <f>IF(IF(COUNTIF(AT$275:AT$294,AT280)&gt;1,TRUE,FALSE),"T"&amp;AT280,AT280)</f>
        <v/>
      </c>
      <c r="AM280">
        <f>IF(IF(COUNTIF(AU$275:AU$294,AU280)&gt;1,TRUE,FALSE),"T"&amp;AU280,AU280)</f>
        <v/>
      </c>
      <c r="AR280">
        <f>RANK(K280,K$275:K$294)</f>
        <v/>
      </c>
      <c r="AS280">
        <f>RANK(J280,J$275:J$294)</f>
        <v/>
      </c>
      <c r="AT280">
        <f>RANK(I280,I$275:I$294)</f>
        <v/>
      </c>
      <c r="AU280">
        <f>RANK(G280,G$275:G$294)</f>
        <v/>
      </c>
    </row>
    <row r="281">
      <c r="A281" s="3" t="inlineStr">
        <is>
          <t>vs Newcastle Utd</t>
        </is>
      </c>
      <c r="B281" s="13" t="n">
        <v>24</v>
      </c>
      <c r="C281" s="13" t="n">
        <v>38</v>
      </c>
      <c r="D281" s="13" t="n">
        <v>14333</v>
      </c>
      <c r="E281" s="13" t="n">
        <v>17858</v>
      </c>
      <c r="F281" s="13" t="n">
        <v>80.3</v>
      </c>
      <c r="G281" s="13" t="n">
        <v>244975</v>
      </c>
      <c r="H281" s="13" t="n">
        <v>85080</v>
      </c>
      <c r="I281" s="13" t="n">
        <v>7047</v>
      </c>
      <c r="J281" s="13" t="n">
        <v>7756</v>
      </c>
      <c r="K281" s="13" t="n">
        <v>90.90000000000001</v>
      </c>
      <c r="L281" s="13" t="n">
        <v>5735</v>
      </c>
      <c r="M281" s="13" t="n">
        <v>6620</v>
      </c>
      <c r="N281" s="13" t="n">
        <v>86.59999999999999</v>
      </c>
      <c r="O281" s="13" t="n">
        <v>1213</v>
      </c>
      <c r="P281" s="13" t="n">
        <v>2556</v>
      </c>
      <c r="Q281" s="13" t="n">
        <v>47.5</v>
      </c>
      <c r="R281" s="13" t="n">
        <v>41</v>
      </c>
      <c r="S281" s="13" t="n">
        <v>35.9</v>
      </c>
      <c r="T281" s="13" t="n">
        <v>31.6</v>
      </c>
      <c r="U281" s="13" t="n">
        <v>5.1</v>
      </c>
      <c r="V281" s="13" t="n">
        <v>364</v>
      </c>
      <c r="W281" s="13" t="n">
        <v>1170</v>
      </c>
      <c r="X281" s="13" t="n">
        <v>276</v>
      </c>
      <c r="Y281" s="13" t="n">
        <v>65</v>
      </c>
      <c r="Z281" s="13" t="n">
        <v>1273</v>
      </c>
      <c r="AI281">
        <f>VLOOKUP(A281,Helpers!$B$4:$C$34,2,0)</f>
        <v/>
      </c>
      <c r="AJ281">
        <f>IF(IF(COUNTIF(AR$275:AR$294,AR281)&gt;1,TRUE,FALSE),"T"&amp;AR281,AR281)</f>
        <v/>
      </c>
      <c r="AK281">
        <f>IF(IF(COUNTIF(AS$275:AS$294,AS281)&gt;1,TRUE,FALSE),"T"&amp;AS281,AS281)</f>
        <v/>
      </c>
      <c r="AL281">
        <f>IF(IF(COUNTIF(AT$275:AT$294,AT281)&gt;1,TRUE,FALSE),"T"&amp;AT281,AT281)</f>
        <v/>
      </c>
      <c r="AM281">
        <f>IF(IF(COUNTIF(AU$275:AU$294,AU281)&gt;1,TRUE,FALSE),"T"&amp;AU281,AU281)</f>
        <v/>
      </c>
      <c r="AR281">
        <f>RANK(K281,K$275:K$294)</f>
        <v/>
      </c>
      <c r="AS281">
        <f>RANK(J281,J$275:J$294)</f>
        <v/>
      </c>
      <c r="AT281">
        <f>RANK(I281,I$275:I$294)</f>
        <v/>
      </c>
      <c r="AU281">
        <f>RANK(G281,G$275:G$294)</f>
        <v/>
      </c>
    </row>
    <row r="282">
      <c r="A282" s="3" t="inlineStr">
        <is>
          <t>vs Nott'ham Forest</t>
        </is>
      </c>
      <c r="B282" s="13" t="n">
        <v>23</v>
      </c>
      <c r="C282" s="13" t="n">
        <v>38</v>
      </c>
      <c r="D282" s="13" t="n">
        <v>16966</v>
      </c>
      <c r="E282" s="13" t="n">
        <v>20628</v>
      </c>
      <c r="F282" s="13" t="n">
        <v>82.2</v>
      </c>
      <c r="G282" s="13" t="n">
        <v>289419</v>
      </c>
      <c r="H282" s="13" t="n">
        <v>96927</v>
      </c>
      <c r="I282" s="13" t="n">
        <v>7748</v>
      </c>
      <c r="J282" s="13" t="n">
        <v>8668</v>
      </c>
      <c r="K282" s="13" t="n">
        <v>89.40000000000001</v>
      </c>
      <c r="L282" s="13" t="n">
        <v>7609</v>
      </c>
      <c r="M282" s="13" t="n">
        <v>8672</v>
      </c>
      <c r="N282" s="13" t="n">
        <v>87.7</v>
      </c>
      <c r="O282" s="13" t="n">
        <v>1251</v>
      </c>
      <c r="P282" s="13" t="n">
        <v>2387</v>
      </c>
      <c r="Q282" s="13" t="n">
        <v>52.4</v>
      </c>
      <c r="R282" s="13" t="n">
        <v>35</v>
      </c>
      <c r="S282" s="13" t="n">
        <v>35.2</v>
      </c>
      <c r="T282" s="13" t="n">
        <v>36.5</v>
      </c>
      <c r="U282" s="13" t="n">
        <v>-0.2</v>
      </c>
      <c r="V282" s="13" t="n">
        <v>396</v>
      </c>
      <c r="W282" s="13" t="n">
        <v>1483</v>
      </c>
      <c r="X282" s="13" t="n">
        <v>375</v>
      </c>
      <c r="Y282" s="13" t="n">
        <v>92</v>
      </c>
      <c r="Z282" s="13" t="n">
        <v>1886</v>
      </c>
      <c r="AI282">
        <f>VLOOKUP(A282,Helpers!$B$4:$C$34,2,0)</f>
        <v/>
      </c>
      <c r="AJ282">
        <f>IF(IF(COUNTIF(AR$275:AR$294,AR282)&gt;1,TRUE,FALSE),"T"&amp;AR282,AR282)</f>
        <v/>
      </c>
      <c r="AK282">
        <f>IF(IF(COUNTIF(AS$275:AS$294,AS282)&gt;1,TRUE,FALSE),"T"&amp;AS282,AS282)</f>
        <v/>
      </c>
      <c r="AL282">
        <f>IF(IF(COUNTIF(AT$275:AT$294,AT282)&gt;1,TRUE,FALSE),"T"&amp;AT282,AT282)</f>
        <v/>
      </c>
      <c r="AM282">
        <f>IF(IF(COUNTIF(AU$275:AU$294,AU282)&gt;1,TRUE,FALSE),"T"&amp;AU282,AU282)</f>
        <v/>
      </c>
      <c r="AR282">
        <f>RANK(K282,K$275:K$294)</f>
        <v/>
      </c>
      <c r="AS282">
        <f>RANK(J282,J$275:J$294)</f>
        <v/>
      </c>
      <c r="AT282">
        <f>RANK(I282,I$275:I$294)</f>
        <v/>
      </c>
      <c r="AU282">
        <f>RANK(G282,G$275:G$294)</f>
        <v/>
      </c>
    </row>
    <row r="283">
      <c r="A283" s="3" t="inlineStr">
        <is>
          <t>vs Southampton</t>
        </is>
      </c>
      <c r="B283" s="13" t="n">
        <v>36</v>
      </c>
      <c r="C283" s="13" t="n">
        <v>38</v>
      </c>
      <c r="D283" s="13" t="n">
        <v>16575</v>
      </c>
      <c r="E283" s="13" t="n">
        <v>19683</v>
      </c>
      <c r="F283" s="13" t="n">
        <v>84.2</v>
      </c>
      <c r="G283" s="13" t="n">
        <v>277016</v>
      </c>
      <c r="H283" s="13" t="n">
        <v>92382</v>
      </c>
      <c r="I283" s="13" t="n">
        <v>7944</v>
      </c>
      <c r="J283" s="13" t="n">
        <v>8739</v>
      </c>
      <c r="K283" s="13" t="n">
        <v>90.90000000000001</v>
      </c>
      <c r="L283" s="13" t="n">
        <v>7112</v>
      </c>
      <c r="M283" s="13" t="n">
        <v>7939</v>
      </c>
      <c r="N283" s="13" t="n">
        <v>89.59999999999999</v>
      </c>
      <c r="O283" s="13" t="n">
        <v>1153</v>
      </c>
      <c r="P283" s="13" t="n">
        <v>2153</v>
      </c>
      <c r="Q283" s="13" t="n">
        <v>53.6</v>
      </c>
      <c r="R283" s="13" t="n">
        <v>61</v>
      </c>
      <c r="S283" s="13" t="n">
        <v>63</v>
      </c>
      <c r="T283" s="13" t="n">
        <v>50.1</v>
      </c>
      <c r="U283" s="13" t="n">
        <v>-2</v>
      </c>
      <c r="V283" s="13" t="n">
        <v>521</v>
      </c>
      <c r="W283" s="13" t="n">
        <v>1359</v>
      </c>
      <c r="X283" s="13" t="n">
        <v>421</v>
      </c>
      <c r="Y283" s="13" t="n">
        <v>86</v>
      </c>
      <c r="Z283" s="13" t="n">
        <v>1647</v>
      </c>
      <c r="AI283">
        <f>VLOOKUP(A283,Helpers!$B$4:$C$34,2,0)</f>
        <v/>
      </c>
      <c r="AJ283">
        <f>IF(IF(COUNTIF(AR$275:AR$294,AR283)&gt;1,TRUE,FALSE),"T"&amp;AR283,AR283)</f>
        <v/>
      </c>
      <c r="AK283">
        <f>IF(IF(COUNTIF(AS$275:AS$294,AS283)&gt;1,TRUE,FALSE),"T"&amp;AS283,AS283)</f>
        <v/>
      </c>
      <c r="AL283">
        <f>IF(IF(COUNTIF(AT$275:AT$294,AT283)&gt;1,TRUE,FALSE),"T"&amp;AT283,AT283)</f>
        <v/>
      </c>
      <c r="AM283">
        <f>IF(IF(COUNTIF(AU$275:AU$294,AU283)&gt;1,TRUE,FALSE),"T"&amp;AU283,AU283)</f>
        <v/>
      </c>
      <c r="AR283">
        <f>RANK(K283,K$275:K$294)</f>
        <v/>
      </c>
      <c r="AS283">
        <f>RANK(J283,J$275:J$294)</f>
        <v/>
      </c>
      <c r="AT283">
        <f>RANK(I283,I$275:I$294)</f>
        <v/>
      </c>
      <c r="AU283">
        <f>RANK(G283,G$275:G$294)</f>
        <v/>
      </c>
    </row>
    <row r="284">
      <c r="A284" s="3" t="inlineStr">
        <is>
          <t>vs Tottenham</t>
        </is>
      </c>
      <c r="B284" s="13" t="n">
        <v>31</v>
      </c>
      <c r="C284" s="13" t="n">
        <v>38</v>
      </c>
      <c r="D284" s="13" t="n">
        <v>13104</v>
      </c>
      <c r="E284" s="13" t="n">
        <v>16529</v>
      </c>
      <c r="F284" s="13" t="n">
        <v>79.3</v>
      </c>
      <c r="G284" s="13" t="n">
        <v>231356</v>
      </c>
      <c r="H284" s="13" t="n">
        <v>83331</v>
      </c>
      <c r="I284" s="13" t="n">
        <v>6060</v>
      </c>
      <c r="J284" s="13" t="n">
        <v>6844</v>
      </c>
      <c r="K284" s="13" t="n">
        <v>88.5</v>
      </c>
      <c r="L284" s="13" t="n">
        <v>5408</v>
      </c>
      <c r="M284" s="13" t="n">
        <v>6248</v>
      </c>
      <c r="N284" s="13" t="n">
        <v>86.59999999999999</v>
      </c>
      <c r="O284" s="13" t="n">
        <v>1301</v>
      </c>
      <c r="P284" s="13" t="n">
        <v>2506</v>
      </c>
      <c r="Q284" s="13" t="n">
        <v>51.9</v>
      </c>
      <c r="R284" s="13" t="n">
        <v>43</v>
      </c>
      <c r="S284" s="13" t="n">
        <v>46.3</v>
      </c>
      <c r="T284" s="13" t="n">
        <v>37.6</v>
      </c>
      <c r="U284" s="13" t="n">
        <v>-3.3</v>
      </c>
      <c r="V284" s="13" t="n">
        <v>381</v>
      </c>
      <c r="W284" s="13" t="n">
        <v>1057</v>
      </c>
      <c r="X284" s="13" t="n">
        <v>331</v>
      </c>
      <c r="Y284" s="13" t="n">
        <v>95</v>
      </c>
      <c r="Z284" s="13" t="n">
        <v>1330</v>
      </c>
      <c r="AI284">
        <f>VLOOKUP(A284,Helpers!$B$4:$C$34,2,0)</f>
        <v/>
      </c>
      <c r="AJ284">
        <f>IF(IF(COUNTIF(AR$275:AR$294,AR284)&gt;1,TRUE,FALSE),"T"&amp;AR284,AR284)</f>
        <v/>
      </c>
      <c r="AK284">
        <f>IF(IF(COUNTIF(AS$275:AS$294,AS284)&gt;1,TRUE,FALSE),"T"&amp;AS284,AS284)</f>
        <v/>
      </c>
      <c r="AL284">
        <f>IF(IF(COUNTIF(AT$275:AT$294,AT284)&gt;1,TRUE,FALSE),"T"&amp;AT284,AT284)</f>
        <v/>
      </c>
      <c r="AM284">
        <f>IF(IF(COUNTIF(AU$275:AU$294,AU284)&gt;1,TRUE,FALSE),"T"&amp;AU284,AU284)</f>
        <v/>
      </c>
      <c r="AR284">
        <f>RANK(K284,K$275:K$294)</f>
        <v/>
      </c>
      <c r="AS284">
        <f>RANK(J284,J$275:J$294)</f>
        <v/>
      </c>
      <c r="AT284">
        <f>RANK(I284,I$275:I$294)</f>
        <v/>
      </c>
      <c r="AU284">
        <f>RANK(G284,G$275:G$294)</f>
        <v/>
      </c>
    </row>
    <row r="285">
      <c r="A285" s="3" t="inlineStr">
        <is>
          <t>vs West Ham</t>
        </is>
      </c>
      <c r="B285" s="13" t="n">
        <v>27</v>
      </c>
      <c r="C285" s="13" t="n">
        <v>38</v>
      </c>
      <c r="D285" s="13" t="n">
        <v>15814</v>
      </c>
      <c r="E285" s="13" t="n">
        <v>19489</v>
      </c>
      <c r="F285" s="13" t="n">
        <v>81.09999999999999</v>
      </c>
      <c r="G285" s="13" t="n">
        <v>272231</v>
      </c>
      <c r="H285" s="13" t="n">
        <v>91982</v>
      </c>
      <c r="I285" s="13" t="n">
        <v>7440</v>
      </c>
      <c r="J285" s="13" t="n">
        <v>8388</v>
      </c>
      <c r="K285" s="13" t="n">
        <v>88.7</v>
      </c>
      <c r="L285" s="13" t="n">
        <v>6663</v>
      </c>
      <c r="M285" s="13" t="n">
        <v>7690</v>
      </c>
      <c r="N285" s="13" t="n">
        <v>86.59999999999999</v>
      </c>
      <c r="O285" s="13" t="n">
        <v>1367</v>
      </c>
      <c r="P285" s="13" t="n">
        <v>2532</v>
      </c>
      <c r="Q285" s="13" t="n">
        <v>54</v>
      </c>
      <c r="R285" s="13" t="n">
        <v>45</v>
      </c>
      <c r="S285" s="13" t="n">
        <v>47.6</v>
      </c>
      <c r="T285" s="13" t="n">
        <v>43</v>
      </c>
      <c r="U285" s="13" t="n">
        <v>-2.6</v>
      </c>
      <c r="V285" s="13" t="n">
        <v>456</v>
      </c>
      <c r="W285" s="13" t="n">
        <v>1386</v>
      </c>
      <c r="X285" s="13" t="n">
        <v>392</v>
      </c>
      <c r="Y285" s="13" t="n">
        <v>97</v>
      </c>
      <c r="Z285" s="13" t="n">
        <v>1622</v>
      </c>
      <c r="AI285">
        <f>VLOOKUP(A285,Helpers!$B$4:$C$34,2,0)</f>
        <v/>
      </c>
      <c r="AJ285">
        <f>IF(IF(COUNTIF(AR$275:AR$294,AR285)&gt;1,TRUE,FALSE),"T"&amp;AR285,AR285)</f>
        <v/>
      </c>
      <c r="AK285">
        <f>IF(IF(COUNTIF(AS$275:AS$294,AS285)&gt;1,TRUE,FALSE),"T"&amp;AS285,AS285)</f>
        <v/>
      </c>
      <c r="AL285">
        <f>IF(IF(COUNTIF(AT$275:AT$294,AT285)&gt;1,TRUE,FALSE),"T"&amp;AT285,AT285)</f>
        <v/>
      </c>
      <c r="AM285">
        <f>IF(IF(COUNTIF(AU$275:AU$294,AU285)&gt;1,TRUE,FALSE),"T"&amp;AU285,AU285)</f>
        <v/>
      </c>
      <c r="AR285">
        <f>RANK(K285,K$275:K$294)</f>
        <v/>
      </c>
      <c r="AS285">
        <f>RANK(J285,J$275:J$294)</f>
        <v/>
      </c>
      <c r="AT285">
        <f>RANK(I285,I$275:I$294)</f>
        <v/>
      </c>
      <c r="AU285">
        <f>RANK(G285,G$275:G$294)</f>
        <v/>
      </c>
    </row>
    <row r="286">
      <c r="A286" s="3" t="inlineStr">
        <is>
          <t>vs Wolves</t>
        </is>
      </c>
      <c r="B286" s="13" t="n">
        <v>32</v>
      </c>
      <c r="C286" s="13" t="n">
        <v>38</v>
      </c>
      <c r="D286" s="13" t="n">
        <v>15875</v>
      </c>
      <c r="E286" s="13" t="n">
        <v>19341</v>
      </c>
      <c r="F286" s="13" t="n">
        <v>82.09999999999999</v>
      </c>
      <c r="G286" s="13" t="n">
        <v>273323</v>
      </c>
      <c r="H286" s="13" t="n">
        <v>93838</v>
      </c>
      <c r="I286" s="13" t="n">
        <v>7424</v>
      </c>
      <c r="J286" s="13" t="n">
        <v>8257</v>
      </c>
      <c r="K286" s="13" t="n">
        <v>89.90000000000001</v>
      </c>
      <c r="L286" s="13" t="n">
        <v>6871</v>
      </c>
      <c r="M286" s="13" t="n">
        <v>7817</v>
      </c>
      <c r="N286" s="13" t="n">
        <v>87.90000000000001</v>
      </c>
      <c r="O286" s="13" t="n">
        <v>1283</v>
      </c>
      <c r="P286" s="13" t="n">
        <v>2372</v>
      </c>
      <c r="Q286" s="13" t="n">
        <v>54.1</v>
      </c>
      <c r="R286" s="13" t="n">
        <v>47</v>
      </c>
      <c r="S286" s="13" t="n">
        <v>41.5</v>
      </c>
      <c r="T286" s="13" t="n">
        <v>35.5</v>
      </c>
      <c r="U286" s="13" t="n">
        <v>5.5</v>
      </c>
      <c r="V286" s="13" t="n">
        <v>358</v>
      </c>
      <c r="W286" s="13" t="n">
        <v>1269</v>
      </c>
      <c r="X286" s="13" t="n">
        <v>331</v>
      </c>
      <c r="Y286" s="13" t="n">
        <v>71</v>
      </c>
      <c r="Z286" s="13" t="n">
        <v>1534</v>
      </c>
      <c r="AI286">
        <f>VLOOKUP(A286,Helpers!$B$4:$C$34,2,0)</f>
        <v/>
      </c>
      <c r="AJ286">
        <f>IF(IF(COUNTIF(AR$275:AR$294,AR286)&gt;1,TRUE,FALSE),"T"&amp;AR286,AR286)</f>
        <v/>
      </c>
      <c r="AK286">
        <f>IF(IF(COUNTIF(AS$275:AS$294,AS286)&gt;1,TRUE,FALSE),"T"&amp;AS286,AS286)</f>
        <v/>
      </c>
      <c r="AL286">
        <f>IF(IF(COUNTIF(AT$275:AT$294,AT286)&gt;1,TRUE,FALSE),"T"&amp;AT286,AT286)</f>
        <v/>
      </c>
      <c r="AM286">
        <f>IF(IF(COUNTIF(AU$275:AU$294,AU286)&gt;1,TRUE,FALSE),"T"&amp;AU286,AU286)</f>
        <v/>
      </c>
      <c r="AR286">
        <f>RANK(K286,K$275:K$294)</f>
        <v/>
      </c>
      <c r="AS286">
        <f>RANK(J286,J$275:J$294)</f>
        <v/>
      </c>
      <c r="AT286">
        <f>RANK(I286,I$275:I$294)</f>
        <v/>
      </c>
      <c r="AU286">
        <f>RANK(G286,G$275:G$294)</f>
        <v/>
      </c>
    </row>
    <row r="287" ht="18" customHeight="1" s="43">
      <c r="AI287">
        <f>VLOOKUP(A287,Helpers!$B$4:$C$34,2,0)</f>
        <v/>
      </c>
      <c r="AJ287">
        <f>IF(IF(COUNTIF(AR$275:AR$294,AR287)&gt;1,TRUE,FALSE),"T"&amp;AR287,AR287)</f>
        <v/>
      </c>
      <c r="AK287">
        <f>IF(IF(COUNTIF(AS$275:AS$294,AS287)&gt;1,TRUE,FALSE),"T"&amp;AS287,AS287)</f>
        <v/>
      </c>
      <c r="AL287">
        <f>IF(IF(COUNTIF(AT$275:AT$294,AT287)&gt;1,TRUE,FALSE),"T"&amp;AT287,AT287)</f>
        <v/>
      </c>
      <c r="AM287">
        <f>IF(IF(COUNTIF(AU$275:AU$294,AU287)&gt;1,TRUE,FALSE),"T"&amp;AU287,AU287)</f>
        <v/>
      </c>
      <c r="AR287">
        <f>RANK(K287,K$275:K$294)</f>
        <v/>
      </c>
      <c r="AS287">
        <f>RANK(J287,J$275:J$294)</f>
        <v/>
      </c>
      <c r="AT287">
        <f>RANK(I287,I$275:I$294)</f>
        <v/>
      </c>
      <c r="AU287">
        <f>RANK(G287,G$275:G$294)</f>
        <v/>
      </c>
    </row>
    <row r="288" ht="18" customHeight="1" s="43">
      <c r="A288" s="45" t="inlineStr">
        <is>
          <t>Squad Pass Types 2024-2025 Premier League Table</t>
        </is>
      </c>
      <c r="AI288">
        <f>VLOOKUP(A288,Helpers!$B$4:$C$34,2,0)</f>
        <v/>
      </c>
      <c r="AJ288">
        <f>IF(IF(COUNTIF(AR$275:AR$294,AR288)&gt;1,TRUE,FALSE),"T"&amp;AR288,AR288)</f>
        <v/>
      </c>
      <c r="AK288">
        <f>IF(IF(COUNTIF(AS$275:AS$294,AS288)&gt;1,TRUE,FALSE),"T"&amp;AS288,AS288)</f>
        <v/>
      </c>
      <c r="AL288">
        <f>IF(IF(COUNTIF(AT$275:AT$294,AT288)&gt;1,TRUE,FALSE),"T"&amp;AT288,AT288)</f>
        <v/>
      </c>
      <c r="AM288">
        <f>IF(IF(COUNTIF(AU$275:AU$294,AU288)&gt;1,TRUE,FALSE),"T"&amp;AU288,AU288)</f>
        <v/>
      </c>
      <c r="AR288">
        <f>RANK(K288,K$275:K$294)</f>
        <v/>
      </c>
      <c r="AS288">
        <f>RANK(J288,J$275:J$294)</f>
        <v/>
      </c>
      <c r="AT288">
        <f>RANK(I288,I$275:I$294)</f>
        <v/>
      </c>
      <c r="AU288">
        <f>RANK(G288,G$275:G$294)</f>
        <v/>
      </c>
    </row>
    <row r="289" ht="17.1" customHeight="1" s="43">
      <c r="A289" s="44" t="n"/>
      <c r="E289" s="44" t="inlineStr">
        <is>
          <t>Pass Types</t>
        </is>
      </c>
      <c r="M289" s="44" t="inlineStr">
        <is>
          <t>Corner Kicks</t>
        </is>
      </c>
      <c r="P289" s="44" t="inlineStr">
        <is>
          <t>Outcomes</t>
        </is>
      </c>
      <c r="AI289">
        <f>VLOOKUP(A289,Helpers!$B$4:$C$34,2,0)</f>
        <v/>
      </c>
      <c r="AJ289">
        <f>IF(IF(COUNTIF(AR$275:AR$294,AR289)&gt;1,TRUE,FALSE),"T"&amp;AR289,AR289)</f>
        <v/>
      </c>
      <c r="AK289">
        <f>IF(IF(COUNTIF(AS$275:AS$294,AS289)&gt;1,TRUE,FALSE),"T"&amp;AS289,AS289)</f>
        <v/>
      </c>
      <c r="AL289">
        <f>IF(IF(COUNTIF(AT$275:AT$294,AT289)&gt;1,TRUE,FALSE),"T"&amp;AT289,AT289)</f>
        <v/>
      </c>
      <c r="AM289">
        <f>IF(IF(COUNTIF(AU$275:AU$294,AU289)&gt;1,TRUE,FALSE),"T"&amp;AU289,AU289)</f>
        <v/>
      </c>
      <c r="AR289">
        <f>RANK(K289,K$275:K$294)</f>
        <v/>
      </c>
      <c r="AS289">
        <f>RANK(J289,J$275:J$294)</f>
        <v/>
      </c>
      <c r="AT289">
        <f>RANK(I289,I$275:I$294)</f>
        <v/>
      </c>
      <c r="AU289">
        <f>RANK(G289,G$275:G$294)</f>
        <v/>
      </c>
    </row>
    <row r="290">
      <c r="A290" s="44" t="inlineStr">
        <is>
          <t>Squad</t>
        </is>
      </c>
      <c r="B290" s="44" t="inlineStr">
        <is>
          <t># Pl</t>
        </is>
      </c>
      <c r="C290" s="44" t="inlineStr">
        <is>
          <t>90s</t>
        </is>
      </c>
      <c r="D290" s="44" t="inlineStr">
        <is>
          <t>Att</t>
        </is>
      </c>
      <c r="E290" s="44" t="inlineStr">
        <is>
          <t>Live</t>
        </is>
      </c>
      <c r="F290" s="44" t="inlineStr">
        <is>
          <t>Dead</t>
        </is>
      </c>
      <c r="G290" s="44" t="inlineStr">
        <is>
          <t>FK</t>
        </is>
      </c>
      <c r="H290" s="44" t="inlineStr">
        <is>
          <t>TB</t>
        </is>
      </c>
      <c r="I290" s="44" t="inlineStr">
        <is>
          <t>Sw</t>
        </is>
      </c>
      <c r="J290" s="44" t="inlineStr">
        <is>
          <t>Crs</t>
        </is>
      </c>
      <c r="K290" s="44" t="inlineStr">
        <is>
          <t>TI</t>
        </is>
      </c>
      <c r="L290" s="44" t="inlineStr">
        <is>
          <t>CK</t>
        </is>
      </c>
      <c r="M290" s="44" t="inlineStr">
        <is>
          <t>In</t>
        </is>
      </c>
      <c r="N290" s="44" t="inlineStr">
        <is>
          <t>Out</t>
        </is>
      </c>
      <c r="O290" s="44" t="inlineStr">
        <is>
          <t>Str</t>
        </is>
      </c>
      <c r="P290" s="44" t="inlineStr">
        <is>
          <t>Cmp</t>
        </is>
      </c>
      <c r="Q290" s="44" t="inlineStr">
        <is>
          <t>Off</t>
        </is>
      </c>
      <c r="R290" s="44" t="inlineStr">
        <is>
          <t>Blocks</t>
        </is>
      </c>
      <c r="AI290">
        <f>VLOOKUP(A290,Helpers!$B$4:$C$34,2,0)</f>
        <v/>
      </c>
      <c r="AJ290">
        <f>IF(IF(COUNTIF(AR$275:AR$294,AR290)&gt;1,TRUE,FALSE),"T"&amp;AR290,AR290)</f>
        <v/>
      </c>
      <c r="AK290">
        <f>IF(IF(COUNTIF(AS$275:AS$294,AS290)&gt;1,TRUE,FALSE),"T"&amp;AS290,AS290)</f>
        <v/>
      </c>
      <c r="AL290">
        <f>IF(IF(COUNTIF(AT$275:AT$294,AT290)&gt;1,TRUE,FALSE),"T"&amp;AT290,AT290)</f>
        <v/>
      </c>
      <c r="AM290">
        <f>IF(IF(COUNTIF(AU$275:AU$294,AU290)&gt;1,TRUE,FALSE),"T"&amp;AU290,AU290)</f>
        <v/>
      </c>
      <c r="AR290">
        <f>RANK(K290,K$275:K$294)</f>
        <v/>
      </c>
      <c r="AS290">
        <f>RANK(J290,J$275:J$294)</f>
        <v/>
      </c>
      <c r="AT290">
        <f>RANK(I290,I$275:I$294)</f>
        <v/>
      </c>
      <c r="AU290">
        <f>RANK(G290,G$275:G$294)</f>
        <v/>
      </c>
    </row>
    <row r="291" ht="15.75" customHeight="1" s="43">
      <c r="A291" s="3" t="inlineStr">
        <is>
          <t>Arsenal</t>
        </is>
      </c>
      <c r="B291" s="13" t="n">
        <v>25</v>
      </c>
      <c r="C291" s="13" t="n">
        <v>38</v>
      </c>
      <c r="D291" s="13" t="n">
        <v>20241</v>
      </c>
      <c r="E291" s="13" t="n">
        <v>18608</v>
      </c>
      <c r="F291" s="13" t="n">
        <v>1553</v>
      </c>
      <c r="G291" s="13" t="n">
        <v>432</v>
      </c>
      <c r="H291" s="13" t="n">
        <v>80</v>
      </c>
      <c r="I291" s="13" t="n">
        <v>74</v>
      </c>
      <c r="J291" s="13" t="n">
        <v>766</v>
      </c>
      <c r="K291" s="13" t="n">
        <v>598</v>
      </c>
      <c r="L291" s="13" t="n">
        <v>251</v>
      </c>
      <c r="M291" s="13" t="n">
        <v>211</v>
      </c>
      <c r="N291" s="13" t="n">
        <v>3</v>
      </c>
      <c r="O291" s="13" t="n">
        <v>2</v>
      </c>
      <c r="P291" s="13" t="n">
        <v>17066</v>
      </c>
      <c r="Q291" s="13" t="n">
        <v>80</v>
      </c>
      <c r="R291" s="13" t="n">
        <v>278</v>
      </c>
      <c r="AI291">
        <f>VLOOKUP(A291,Helpers!$B$4:$C$34,2,0)</f>
        <v/>
      </c>
      <c r="AJ291">
        <f>IF(IF(COUNTIF(AR$275:AR$294,AR291)&gt;1,TRUE,FALSE),"T"&amp;AR291,AR291)</f>
        <v/>
      </c>
      <c r="AK291">
        <f>IF(IF(COUNTIF(AS$275:AS$294,AS291)&gt;1,TRUE,FALSE),"T"&amp;AS291,AS291)</f>
        <v/>
      </c>
      <c r="AL291">
        <f>IF(IF(COUNTIF(AT$275:AT$294,AT291)&gt;1,TRUE,FALSE),"T"&amp;AT291,AT291)</f>
        <v/>
      </c>
      <c r="AM291">
        <f>IF(IF(COUNTIF(AU$275:AU$294,AU291)&gt;1,TRUE,FALSE),"T"&amp;AU291,AU291)</f>
        <v/>
      </c>
      <c r="AR291">
        <f>RANK(K291,K$275:K$294)</f>
        <v/>
      </c>
      <c r="AS291">
        <f>RANK(J291,J$275:J$294)</f>
        <v/>
      </c>
      <c r="AT291">
        <f>RANK(I291,I$275:I$294)</f>
        <v/>
      </c>
      <c r="AU291">
        <f>RANK(G291,G$275:G$294)</f>
        <v/>
      </c>
    </row>
    <row r="292">
      <c r="A292" s="3" t="inlineStr">
        <is>
          <t>Aston Villa</t>
        </is>
      </c>
      <c r="B292" s="13" t="n">
        <v>28</v>
      </c>
      <c r="C292" s="13" t="n">
        <v>38</v>
      </c>
      <c r="D292" s="13" t="n">
        <v>17797</v>
      </c>
      <c r="E292" s="13" t="n">
        <v>16044</v>
      </c>
      <c r="F292" s="13" t="n">
        <v>1698</v>
      </c>
      <c r="G292" s="13" t="n">
        <v>583</v>
      </c>
      <c r="H292" s="13" t="n">
        <v>95</v>
      </c>
      <c r="I292" s="13" t="n">
        <v>58</v>
      </c>
      <c r="J292" s="13" t="n">
        <v>604</v>
      </c>
      <c r="K292" s="13" t="n">
        <v>497</v>
      </c>
      <c r="L292" s="13" t="n">
        <v>230</v>
      </c>
      <c r="M292" s="13" t="n">
        <v>148</v>
      </c>
      <c r="N292" s="13" t="n">
        <v>24</v>
      </c>
      <c r="O292" s="13" t="n">
        <v>1</v>
      </c>
      <c r="P292" s="13" t="n">
        <v>14701</v>
      </c>
      <c r="Q292" s="13" t="n">
        <v>55</v>
      </c>
      <c r="R292" s="13" t="n">
        <v>346</v>
      </c>
      <c r="AI292">
        <f>VLOOKUP(A292,Helpers!$B$4:$C$34,2,0)</f>
        <v/>
      </c>
      <c r="AJ292">
        <f>IF(IF(COUNTIF(AR$275:AR$294,AR292)&gt;1,TRUE,FALSE),"T"&amp;AR292,AR292)</f>
        <v/>
      </c>
      <c r="AK292">
        <f>IF(IF(COUNTIF(AS$275:AS$294,AS292)&gt;1,TRUE,FALSE),"T"&amp;AS292,AS292)</f>
        <v/>
      </c>
      <c r="AL292">
        <f>IF(IF(COUNTIF(AT$275:AT$294,AT292)&gt;1,TRUE,FALSE),"T"&amp;AT292,AT292)</f>
        <v/>
      </c>
      <c r="AM292">
        <f>IF(IF(COUNTIF(AU$275:AU$294,AU292)&gt;1,TRUE,FALSE),"T"&amp;AU292,AU292)</f>
        <v/>
      </c>
      <c r="AR292">
        <f>RANK(K292,K$275:K$294)</f>
        <v/>
      </c>
      <c r="AS292">
        <f>RANK(J292,J$275:J$294)</f>
        <v/>
      </c>
      <c r="AT292">
        <f>RANK(I292,I$275:I$294)</f>
        <v/>
      </c>
      <c r="AU292">
        <f>RANK(G292,G$275:G$294)</f>
        <v/>
      </c>
    </row>
    <row r="293" ht="18" customHeight="1" s="43">
      <c r="A293" s="3" t="inlineStr">
        <is>
          <t>Bournemouth</t>
        </is>
      </c>
      <c r="B293" s="13" t="n">
        <v>29</v>
      </c>
      <c r="C293" s="13" t="n">
        <v>38</v>
      </c>
      <c r="D293" s="13" t="n">
        <v>16900</v>
      </c>
      <c r="E293" s="13" t="n">
        <v>15136</v>
      </c>
      <c r="F293" s="13" t="n">
        <v>1694</v>
      </c>
      <c r="G293" s="13" t="n">
        <v>430</v>
      </c>
      <c r="H293" s="13" t="n">
        <v>59</v>
      </c>
      <c r="I293" s="13" t="n">
        <v>78</v>
      </c>
      <c r="J293" s="13" t="n">
        <v>832</v>
      </c>
      <c r="K293" s="13" t="n">
        <v>686</v>
      </c>
      <c r="L293" s="13" t="n">
        <v>228</v>
      </c>
      <c r="M293" s="13" t="n">
        <v>166</v>
      </c>
      <c r="N293" s="13" t="n">
        <v>18</v>
      </c>
      <c r="O293" s="13" t="n">
        <v>4</v>
      </c>
      <c r="P293" s="13" t="n">
        <v>12977</v>
      </c>
      <c r="Q293" s="13" t="n">
        <v>70</v>
      </c>
      <c r="R293" s="13" t="n">
        <v>314</v>
      </c>
      <c r="AI293">
        <f>VLOOKUP(A293,Helpers!$B$4:$C$34,2,0)</f>
        <v/>
      </c>
      <c r="AJ293">
        <f>IF(IF(COUNTIF(AR$275:AR$294,AR293)&gt;1,TRUE,FALSE),"T"&amp;AR293,AR293)</f>
        <v/>
      </c>
      <c r="AK293">
        <f>IF(IF(COUNTIF(AS$275:AS$294,AS293)&gt;1,TRUE,FALSE),"T"&amp;AS293,AS293)</f>
        <v/>
      </c>
      <c r="AL293">
        <f>IF(IF(COUNTIF(AT$275:AT$294,AT293)&gt;1,TRUE,FALSE),"T"&amp;AT293,AT293)</f>
        <v/>
      </c>
      <c r="AM293">
        <f>IF(IF(COUNTIF(AU$275:AU$294,AU293)&gt;1,TRUE,FALSE),"T"&amp;AU293,AU293)</f>
        <v/>
      </c>
      <c r="AR293">
        <f>RANK(K293,K$275:K$294)</f>
        <v/>
      </c>
      <c r="AS293">
        <f>RANK(J293,J$275:J$294)</f>
        <v/>
      </c>
      <c r="AT293">
        <f>RANK(I293,I$275:I$294)</f>
        <v/>
      </c>
      <c r="AU293">
        <f>RANK(G293,G$275:G$294)</f>
        <v/>
      </c>
    </row>
    <row r="294" ht="17.1" customHeight="1" s="43">
      <c r="A294" s="3" t="inlineStr">
        <is>
          <t>Brentford</t>
        </is>
      </c>
      <c r="B294" s="13" t="n">
        <v>28</v>
      </c>
      <c r="C294" s="13" t="n">
        <v>38</v>
      </c>
      <c r="D294" s="13" t="n">
        <v>17100</v>
      </c>
      <c r="E294" s="13" t="n">
        <v>15453</v>
      </c>
      <c r="F294" s="13" t="n">
        <v>1584</v>
      </c>
      <c r="G294" s="13" t="n">
        <v>386</v>
      </c>
      <c r="H294" s="13" t="n">
        <v>69</v>
      </c>
      <c r="I294" s="13" t="n">
        <v>71</v>
      </c>
      <c r="J294" s="13" t="n">
        <v>674</v>
      </c>
      <c r="K294" s="13" t="n">
        <v>602</v>
      </c>
      <c r="L294" s="13" t="n">
        <v>174</v>
      </c>
      <c r="M294" s="13" t="n">
        <v>139</v>
      </c>
      <c r="N294" s="13" t="n">
        <v>2</v>
      </c>
      <c r="O294" s="13" t="n">
        <v>0</v>
      </c>
      <c r="P294" s="13" t="n">
        <v>13358</v>
      </c>
      <c r="Q294" s="13" t="n">
        <v>63</v>
      </c>
      <c r="R294" s="13" t="n">
        <v>288</v>
      </c>
      <c r="AI294">
        <f>VLOOKUP(A294,Helpers!$B$4:$C$34,2,0)</f>
        <v/>
      </c>
      <c r="AJ294">
        <f>IF(IF(COUNTIF(AR$275:AR$294,AR294)&gt;1,TRUE,FALSE),"T"&amp;AR294,AR294)</f>
        <v/>
      </c>
      <c r="AK294">
        <f>IF(IF(COUNTIF(AS$275:AS$294,AS294)&gt;1,TRUE,FALSE),"T"&amp;AS294,AS294)</f>
        <v/>
      </c>
      <c r="AL294">
        <f>IF(IF(COUNTIF(AT$275:AT$294,AT294)&gt;1,TRUE,FALSE),"T"&amp;AT294,AT294)</f>
        <v/>
      </c>
      <c r="AM294">
        <f>IF(IF(COUNTIF(AU$275:AU$294,AU294)&gt;1,TRUE,FALSE),"T"&amp;AU294,AU294)</f>
        <v/>
      </c>
      <c r="AR294">
        <f>RANK(K294,K$275:K$294)</f>
        <v/>
      </c>
      <c r="AS294">
        <f>RANK(J294,J$275:J$294)</f>
        <v/>
      </c>
      <c r="AT294">
        <f>RANK(I294,I$275:I$294)</f>
        <v/>
      </c>
      <c r="AU294">
        <f>RANK(G294,G$275:G$294)</f>
        <v/>
      </c>
    </row>
    <row r="295">
      <c r="A295" s="3" t="inlineStr">
        <is>
          <t>Brighton</t>
        </is>
      </c>
      <c r="B295" s="13" t="n">
        <v>32</v>
      </c>
      <c r="C295" s="13" t="n">
        <v>38</v>
      </c>
      <c r="D295" s="13" t="n">
        <v>19188</v>
      </c>
      <c r="E295" s="13" t="n">
        <v>17527</v>
      </c>
      <c r="F295" s="13" t="n">
        <v>1615</v>
      </c>
      <c r="G295" s="13" t="n">
        <v>482</v>
      </c>
      <c r="H295" s="13" t="n">
        <v>77</v>
      </c>
      <c r="I295" s="13" t="n">
        <v>76</v>
      </c>
      <c r="J295" s="13" t="n">
        <v>704</v>
      </c>
      <c r="K295" s="13" t="n">
        <v>605</v>
      </c>
      <c r="L295" s="13" t="n">
        <v>188</v>
      </c>
      <c r="M295" s="13" t="n">
        <v>107</v>
      </c>
      <c r="N295" s="13" t="n">
        <v>48</v>
      </c>
      <c r="O295" s="13" t="n">
        <v>7</v>
      </c>
      <c r="P295" s="13" t="n">
        <v>15820</v>
      </c>
      <c r="Q295" s="13" t="n">
        <v>46</v>
      </c>
      <c r="R295" s="13" t="n">
        <v>310</v>
      </c>
    </row>
    <row r="296">
      <c r="A296" s="3" t="inlineStr">
        <is>
          <t>Chelsea</t>
        </is>
      </c>
      <c r="B296" s="13" t="n">
        <v>29</v>
      </c>
      <c r="C296" s="13" t="n">
        <v>38</v>
      </c>
      <c r="D296" s="13" t="n">
        <v>21320</v>
      </c>
      <c r="E296" s="13" t="n">
        <v>19613</v>
      </c>
      <c r="F296" s="13" t="n">
        <v>1642</v>
      </c>
      <c r="G296" s="13" t="n">
        <v>516</v>
      </c>
      <c r="H296" s="13" t="n">
        <v>79</v>
      </c>
      <c r="I296" s="13" t="n">
        <v>95</v>
      </c>
      <c r="J296" s="13" t="n">
        <v>663</v>
      </c>
      <c r="K296" s="13" t="n">
        <v>587</v>
      </c>
      <c r="L296" s="13" t="n">
        <v>234</v>
      </c>
      <c r="M296" s="13" t="n">
        <v>121</v>
      </c>
      <c r="N296" s="13" t="n">
        <v>37</v>
      </c>
      <c r="O296" s="13" t="n">
        <v>8</v>
      </c>
      <c r="P296" s="13" t="n">
        <v>18033</v>
      </c>
      <c r="Q296" s="13" t="n">
        <v>65</v>
      </c>
      <c r="R296" s="13" t="n">
        <v>304</v>
      </c>
    </row>
    <row r="297" ht="17.1" customHeight="1" s="43">
      <c r="A297" s="3" t="inlineStr">
        <is>
          <t>Crystal Palace</t>
        </is>
      </c>
      <c r="B297" s="13" t="n">
        <v>29</v>
      </c>
      <c r="C297" s="13" t="n">
        <v>38</v>
      </c>
      <c r="D297" s="13" t="n">
        <v>15754</v>
      </c>
      <c r="E297" s="13" t="n">
        <v>14066</v>
      </c>
      <c r="F297" s="13" t="n">
        <v>1614</v>
      </c>
      <c r="G297" s="13" t="n">
        <v>440</v>
      </c>
      <c r="H297" s="13" t="n">
        <v>71</v>
      </c>
      <c r="I297" s="13" t="n">
        <v>59</v>
      </c>
      <c r="J297" s="13" t="n">
        <v>605</v>
      </c>
      <c r="K297" s="13" t="n">
        <v>621</v>
      </c>
      <c r="L297" s="13" t="n">
        <v>171</v>
      </c>
      <c r="M297" s="13" t="n">
        <v>115</v>
      </c>
      <c r="N297" s="13" t="n">
        <v>18</v>
      </c>
      <c r="O297" s="13" t="n">
        <v>0</v>
      </c>
      <c r="P297" s="13" t="n">
        <v>11875</v>
      </c>
      <c r="Q297" s="13" t="n">
        <v>74</v>
      </c>
      <c r="R297" s="13" t="n">
        <v>302</v>
      </c>
    </row>
    <row r="298">
      <c r="A298" s="3" t="inlineStr">
        <is>
          <t>Everton</t>
        </is>
      </c>
      <c r="B298" s="13" t="n">
        <v>26</v>
      </c>
      <c r="C298" s="13" t="n">
        <v>38</v>
      </c>
      <c r="D298" s="13" t="n">
        <v>14953</v>
      </c>
      <c r="E298" s="13" t="n">
        <v>13245</v>
      </c>
      <c r="F298" s="13" t="n">
        <v>1627</v>
      </c>
      <c r="G298" s="13" t="n">
        <v>424</v>
      </c>
      <c r="H298" s="13" t="n">
        <v>30</v>
      </c>
      <c r="I298" s="13" t="n">
        <v>83</v>
      </c>
      <c r="J298" s="13" t="n">
        <v>682</v>
      </c>
      <c r="K298" s="13" t="n">
        <v>678</v>
      </c>
      <c r="L298" s="13" t="n">
        <v>154</v>
      </c>
      <c r="M298" s="13" t="n">
        <v>101</v>
      </c>
      <c r="N298" s="13" t="n">
        <v>24</v>
      </c>
      <c r="O298" s="13" t="n">
        <v>11</v>
      </c>
      <c r="P298" s="13" t="n">
        <v>11405</v>
      </c>
      <c r="Q298" s="13" t="n">
        <v>81</v>
      </c>
      <c r="R298" s="13" t="n">
        <v>295</v>
      </c>
    </row>
    <row r="299">
      <c r="A299" s="3" t="inlineStr">
        <is>
          <t>Fulham</t>
        </is>
      </c>
      <c r="B299" s="13" t="n">
        <v>26</v>
      </c>
      <c r="C299" s="13" t="n">
        <v>38</v>
      </c>
      <c r="D299" s="13" t="n">
        <v>19753</v>
      </c>
      <c r="E299" s="13" t="n">
        <v>18077</v>
      </c>
      <c r="F299" s="13" t="n">
        <v>1633</v>
      </c>
      <c r="G299" s="13" t="n">
        <v>437</v>
      </c>
      <c r="H299" s="13" t="n">
        <v>43</v>
      </c>
      <c r="I299" s="13" t="n">
        <v>119</v>
      </c>
      <c r="J299" s="13" t="n">
        <v>894</v>
      </c>
      <c r="K299" s="13" t="n">
        <v>636</v>
      </c>
      <c r="L299" s="13" t="n">
        <v>203</v>
      </c>
      <c r="M299" s="13" t="n">
        <v>88</v>
      </c>
      <c r="N299" s="13" t="n">
        <v>87</v>
      </c>
      <c r="O299" s="13" t="n">
        <v>1</v>
      </c>
      <c r="P299" s="13" t="n">
        <v>16199</v>
      </c>
      <c r="Q299" s="13" t="n">
        <v>43</v>
      </c>
      <c r="R299" s="13" t="n">
        <v>337</v>
      </c>
    </row>
    <row r="300">
      <c r="A300" s="3" t="inlineStr">
        <is>
          <t>Ipswich Town</t>
        </is>
      </c>
      <c r="B300" s="13" t="n">
        <v>32</v>
      </c>
      <c r="C300" s="13" t="n">
        <v>38</v>
      </c>
      <c r="D300" s="13" t="n">
        <v>14775</v>
      </c>
      <c r="E300" s="13" t="n">
        <v>13146</v>
      </c>
      <c r="F300" s="13" t="n">
        <v>1577</v>
      </c>
      <c r="G300" s="13" t="n">
        <v>434</v>
      </c>
      <c r="H300" s="13" t="n">
        <v>44</v>
      </c>
      <c r="I300" s="13" t="n">
        <v>60</v>
      </c>
      <c r="J300" s="13" t="n">
        <v>505</v>
      </c>
      <c r="K300" s="13" t="n">
        <v>572</v>
      </c>
      <c r="L300" s="13" t="n">
        <v>145</v>
      </c>
      <c r="M300" s="13" t="n">
        <v>111</v>
      </c>
      <c r="N300" s="13" t="n">
        <v>18</v>
      </c>
      <c r="O300" s="13" t="n">
        <v>1</v>
      </c>
      <c r="P300" s="13" t="n">
        <v>11524</v>
      </c>
      <c r="Q300" s="13" t="n">
        <v>52</v>
      </c>
      <c r="R300" s="13" t="n">
        <v>300</v>
      </c>
    </row>
    <row r="301" ht="17.1" customHeight="1" s="43">
      <c r="A301" s="3" t="inlineStr">
        <is>
          <t>Leicester City</t>
        </is>
      </c>
      <c r="B301" s="13" t="n">
        <v>32</v>
      </c>
      <c r="C301" s="13" t="n">
        <v>38</v>
      </c>
      <c r="D301" s="13" t="n">
        <v>17486</v>
      </c>
      <c r="E301" s="13" t="n">
        <v>15728</v>
      </c>
      <c r="F301" s="13" t="n">
        <v>1695</v>
      </c>
      <c r="G301" s="13" t="n">
        <v>449</v>
      </c>
      <c r="H301" s="13" t="n">
        <v>52</v>
      </c>
      <c r="I301" s="13" t="n">
        <v>47</v>
      </c>
      <c r="J301" s="13" t="n">
        <v>621</v>
      </c>
      <c r="K301" s="13" t="n">
        <v>664</v>
      </c>
      <c r="L301" s="13" t="n">
        <v>139</v>
      </c>
      <c r="M301" s="13" t="n">
        <v>86</v>
      </c>
      <c r="N301" s="13" t="n">
        <v>29</v>
      </c>
      <c r="O301" s="13" t="n">
        <v>4</v>
      </c>
      <c r="P301" s="13" t="n">
        <v>13945</v>
      </c>
      <c r="Q301" s="13" t="n">
        <v>63</v>
      </c>
      <c r="R301" s="13" t="n">
        <v>319</v>
      </c>
    </row>
    <row r="302">
      <c r="A302" s="3" t="inlineStr">
        <is>
          <t>Liverpool</t>
        </is>
      </c>
      <c r="B302" s="13" t="n">
        <v>24</v>
      </c>
      <c r="C302" s="13" t="n">
        <v>38</v>
      </c>
      <c r="D302" s="13" t="n">
        <v>21759</v>
      </c>
      <c r="E302" s="13" t="n">
        <v>19999</v>
      </c>
      <c r="F302" s="13" t="n">
        <v>1700</v>
      </c>
      <c r="G302" s="13" t="n">
        <v>448</v>
      </c>
      <c r="H302" s="13" t="n">
        <v>69</v>
      </c>
      <c r="I302" s="13" t="n">
        <v>128</v>
      </c>
      <c r="J302" s="13" t="n">
        <v>729</v>
      </c>
      <c r="K302" s="13" t="n">
        <v>682</v>
      </c>
      <c r="L302" s="13" t="n">
        <v>252</v>
      </c>
      <c r="M302" s="13" t="n">
        <v>145</v>
      </c>
      <c r="N302" s="13" t="n">
        <v>72</v>
      </c>
      <c r="O302" s="13" t="n">
        <v>1</v>
      </c>
      <c r="P302" s="13" t="n">
        <v>18304</v>
      </c>
      <c r="Q302" s="13" t="n">
        <v>60</v>
      </c>
      <c r="R302" s="13" t="n">
        <v>330</v>
      </c>
    </row>
    <row r="303">
      <c r="A303" s="3" t="inlineStr">
        <is>
          <t>Manchester City</t>
        </is>
      </c>
      <c r="B303" s="13" t="n">
        <v>30</v>
      </c>
      <c r="C303" s="13" t="n">
        <v>38</v>
      </c>
      <c r="D303" s="13" t="n">
        <v>24443</v>
      </c>
      <c r="E303" s="13" t="n">
        <v>22822</v>
      </c>
      <c r="F303" s="13" t="n">
        <v>1576</v>
      </c>
      <c r="G303" s="13" t="n">
        <v>449</v>
      </c>
      <c r="H303" s="13" t="n">
        <v>86</v>
      </c>
      <c r="I303" s="13" t="n">
        <v>90</v>
      </c>
      <c r="J303" s="13" t="n">
        <v>659</v>
      </c>
      <c r="K303" s="13" t="n">
        <v>603</v>
      </c>
      <c r="L303" s="13" t="n">
        <v>253</v>
      </c>
      <c r="M303" s="13" t="n">
        <v>127</v>
      </c>
      <c r="N303" s="13" t="n">
        <v>37</v>
      </c>
      <c r="O303" s="13" t="n">
        <v>4</v>
      </c>
      <c r="P303" s="13" t="n">
        <v>21531</v>
      </c>
      <c r="Q303" s="13" t="n">
        <v>45</v>
      </c>
      <c r="R303" s="13" t="n">
        <v>341</v>
      </c>
    </row>
    <row r="304">
      <c r="A304" s="3" t="inlineStr">
        <is>
          <t>Manchester Utd</t>
        </is>
      </c>
      <c r="B304" s="13" t="n">
        <v>31</v>
      </c>
      <c r="C304" s="13" t="n">
        <v>38</v>
      </c>
      <c r="D304" s="13" t="n">
        <v>20415</v>
      </c>
      <c r="E304" s="13" t="n">
        <v>18750</v>
      </c>
      <c r="F304" s="13" t="n">
        <v>1596</v>
      </c>
      <c r="G304" s="13" t="n">
        <v>414</v>
      </c>
      <c r="H304" s="13" t="n">
        <v>94</v>
      </c>
      <c r="I304" s="13" t="n">
        <v>107</v>
      </c>
      <c r="J304" s="13" t="n">
        <v>630</v>
      </c>
      <c r="K304" s="13" t="n">
        <v>646</v>
      </c>
      <c r="L304" s="13" t="n">
        <v>197</v>
      </c>
      <c r="M304" s="13" t="n">
        <v>96</v>
      </c>
      <c r="N304" s="13" t="n">
        <v>45</v>
      </c>
      <c r="O304" s="13" t="n">
        <v>11</v>
      </c>
      <c r="P304" s="13" t="n">
        <v>16837</v>
      </c>
      <c r="Q304" s="13" t="n">
        <v>69</v>
      </c>
      <c r="R304" s="13" t="n">
        <v>355</v>
      </c>
    </row>
    <row r="305">
      <c r="A305" s="3" t="inlineStr">
        <is>
          <t>Newcastle Utd</t>
        </is>
      </c>
      <c r="B305" s="13" t="n">
        <v>24</v>
      </c>
      <c r="C305" s="13" t="n">
        <v>38</v>
      </c>
      <c r="D305" s="13" t="n">
        <v>18898</v>
      </c>
      <c r="E305" s="13" t="n">
        <v>17088</v>
      </c>
      <c r="F305" s="13" t="n">
        <v>1739</v>
      </c>
      <c r="G305" s="13" t="n">
        <v>482</v>
      </c>
      <c r="H305" s="13" t="n">
        <v>78</v>
      </c>
      <c r="I305" s="13" t="n">
        <v>94</v>
      </c>
      <c r="J305" s="13" t="n">
        <v>705</v>
      </c>
      <c r="K305" s="13" t="n">
        <v>704</v>
      </c>
      <c r="L305" s="13" t="n">
        <v>217</v>
      </c>
      <c r="M305" s="13" t="n">
        <v>118</v>
      </c>
      <c r="N305" s="13" t="n">
        <v>27</v>
      </c>
      <c r="O305" s="13" t="n">
        <v>17</v>
      </c>
      <c r="P305" s="13" t="n">
        <v>15416</v>
      </c>
      <c r="Q305" s="13" t="n">
        <v>71</v>
      </c>
      <c r="R305" s="13" t="n">
        <v>351</v>
      </c>
    </row>
    <row r="306">
      <c r="A306" s="3" t="inlineStr">
        <is>
          <t>Nott'ham Forest</t>
        </is>
      </c>
      <c r="B306" s="13" t="n">
        <v>23</v>
      </c>
      <c r="C306" s="13" t="n">
        <v>38</v>
      </c>
      <c r="D306" s="13" t="n">
        <v>14366</v>
      </c>
      <c r="E306" s="13" t="n">
        <v>12658</v>
      </c>
      <c r="F306" s="13" t="n">
        <v>1617</v>
      </c>
      <c r="G306" s="13" t="n">
        <v>436</v>
      </c>
      <c r="H306" s="13" t="n">
        <v>59</v>
      </c>
      <c r="I306" s="13" t="n">
        <v>62</v>
      </c>
      <c r="J306" s="13" t="n">
        <v>621</v>
      </c>
      <c r="K306" s="13" t="n">
        <v>615</v>
      </c>
      <c r="L306" s="13" t="n">
        <v>159</v>
      </c>
      <c r="M306" s="13" t="n">
        <v>71</v>
      </c>
      <c r="N306" s="13" t="n">
        <v>76</v>
      </c>
      <c r="O306" s="13" t="n">
        <v>0</v>
      </c>
      <c r="P306" s="13" t="n">
        <v>10822</v>
      </c>
      <c r="Q306" s="13" t="n">
        <v>91</v>
      </c>
      <c r="R306" s="13" t="n">
        <v>282</v>
      </c>
    </row>
    <row r="307">
      <c r="A307" s="3" t="inlineStr">
        <is>
          <t>Southampton</t>
        </is>
      </c>
      <c r="B307" s="13" t="n">
        <v>36</v>
      </c>
      <c r="C307" s="13" t="n">
        <v>38</v>
      </c>
      <c r="D307" s="13" t="n">
        <v>18561</v>
      </c>
      <c r="E307" s="13" t="n">
        <v>16979</v>
      </c>
      <c r="F307" s="13" t="n">
        <v>1533</v>
      </c>
      <c r="G307" s="13" t="n">
        <v>468</v>
      </c>
      <c r="H307" s="13" t="n">
        <v>43</v>
      </c>
      <c r="I307" s="13" t="n">
        <v>60</v>
      </c>
      <c r="J307" s="13" t="n">
        <v>548</v>
      </c>
      <c r="K307" s="13" t="n">
        <v>493</v>
      </c>
      <c r="L307" s="13" t="n">
        <v>152</v>
      </c>
      <c r="M307" s="13" t="n">
        <v>102</v>
      </c>
      <c r="N307" s="13" t="n">
        <v>33</v>
      </c>
      <c r="O307" s="13" t="n">
        <v>0</v>
      </c>
      <c r="P307" s="13" t="n">
        <v>15530</v>
      </c>
      <c r="Q307" s="13" t="n">
        <v>49</v>
      </c>
      <c r="R307" s="13" t="n">
        <v>272</v>
      </c>
    </row>
    <row r="308">
      <c r="A308" s="3" t="inlineStr">
        <is>
          <t>Tottenham</t>
        </is>
      </c>
      <c r="B308" s="13" t="n">
        <v>31</v>
      </c>
      <c r="C308" s="13" t="n">
        <v>38</v>
      </c>
      <c r="D308" s="13" t="n">
        <v>19960</v>
      </c>
      <c r="E308" s="13" t="n">
        <v>18013</v>
      </c>
      <c r="F308" s="13" t="n">
        <v>1884</v>
      </c>
      <c r="G308" s="13" t="n">
        <v>561</v>
      </c>
      <c r="H308" s="13" t="n">
        <v>54</v>
      </c>
      <c r="I308" s="13" t="n">
        <v>70</v>
      </c>
      <c r="J308" s="13" t="n">
        <v>752</v>
      </c>
      <c r="K308" s="13" t="n">
        <v>705</v>
      </c>
      <c r="L308" s="13" t="n">
        <v>243</v>
      </c>
      <c r="M308" s="13" t="n">
        <v>108</v>
      </c>
      <c r="N308" s="13" t="n">
        <v>66</v>
      </c>
      <c r="O308" s="13" t="n">
        <v>0</v>
      </c>
      <c r="P308" s="13" t="n">
        <v>16513</v>
      </c>
      <c r="Q308" s="13" t="n">
        <v>63</v>
      </c>
      <c r="R308" s="13" t="n">
        <v>437</v>
      </c>
    </row>
    <row r="309" ht="18" customHeight="1" s="43">
      <c r="A309" s="3" t="inlineStr">
        <is>
          <t>West Ham</t>
        </is>
      </c>
      <c r="B309" s="13" t="n">
        <v>27</v>
      </c>
      <c r="C309" s="13" t="n">
        <v>38</v>
      </c>
      <c r="D309" s="13" t="n">
        <v>18363</v>
      </c>
      <c r="E309" s="13" t="n">
        <v>16678</v>
      </c>
      <c r="F309" s="13" t="n">
        <v>1612</v>
      </c>
      <c r="G309" s="13" t="n">
        <v>437</v>
      </c>
      <c r="H309" s="13" t="n">
        <v>53</v>
      </c>
      <c r="I309" s="13" t="n">
        <v>133</v>
      </c>
      <c r="J309" s="13" t="n">
        <v>613</v>
      </c>
      <c r="K309" s="13" t="n">
        <v>612</v>
      </c>
      <c r="L309" s="13" t="n">
        <v>152</v>
      </c>
      <c r="M309" s="13" t="n">
        <v>82</v>
      </c>
      <c r="N309" s="13" t="n">
        <v>57</v>
      </c>
      <c r="O309" s="13" t="n">
        <v>1</v>
      </c>
      <c r="P309" s="13" t="n">
        <v>14820</v>
      </c>
      <c r="Q309" s="13" t="n">
        <v>73</v>
      </c>
      <c r="R309" s="13" t="n">
        <v>343</v>
      </c>
    </row>
    <row r="310" ht="17.1" customHeight="1" s="43">
      <c r="A310" s="3" t="inlineStr">
        <is>
          <t>Wolves</t>
        </is>
      </c>
      <c r="B310" s="13" t="n">
        <v>32</v>
      </c>
      <c r="C310" s="13" t="n">
        <v>38</v>
      </c>
      <c r="D310" s="13" t="n">
        <v>17884</v>
      </c>
      <c r="E310" s="13" t="n">
        <v>16133</v>
      </c>
      <c r="F310" s="13" t="n">
        <v>1689</v>
      </c>
      <c r="G310" s="13" t="n">
        <v>495</v>
      </c>
      <c r="H310" s="13" t="n">
        <v>55</v>
      </c>
      <c r="I310" s="13" t="n">
        <v>122</v>
      </c>
      <c r="J310" s="13" t="n">
        <v>568</v>
      </c>
      <c r="K310" s="13" t="n">
        <v>696</v>
      </c>
      <c r="L310" s="13" t="n">
        <v>147</v>
      </c>
      <c r="M310" s="13" t="n">
        <v>98</v>
      </c>
      <c r="N310" s="13" t="n">
        <v>31</v>
      </c>
      <c r="O310" s="13" t="n">
        <v>3</v>
      </c>
      <c r="P310" s="13" t="n">
        <v>14472</v>
      </c>
      <c r="Q310" s="13" t="n">
        <v>62</v>
      </c>
      <c r="R310" s="13" t="n">
        <v>328</v>
      </c>
    </row>
    <row r="312">
      <c r="A312" s="45" t="inlineStr">
        <is>
          <t>Squad Pass Types 2024-2025 Premier League Table</t>
        </is>
      </c>
    </row>
    <row r="313" ht="17.1" customHeight="1" s="43">
      <c r="A313" s="44" t="n"/>
      <c r="E313" s="44" t="inlineStr">
        <is>
          <t>Pass Types</t>
        </is>
      </c>
      <c r="M313" s="44" t="inlineStr">
        <is>
          <t>Corner Kicks</t>
        </is>
      </c>
      <c r="P313" s="44" t="inlineStr">
        <is>
          <t>Outcomes</t>
        </is>
      </c>
    </row>
    <row r="314">
      <c r="A314" s="44" t="inlineStr">
        <is>
          <t>Squad</t>
        </is>
      </c>
      <c r="B314" s="44" t="inlineStr">
        <is>
          <t># Pl</t>
        </is>
      </c>
      <c r="C314" s="44" t="inlineStr">
        <is>
          <t>90s</t>
        </is>
      </c>
      <c r="D314" s="44" t="inlineStr">
        <is>
          <t>Att</t>
        </is>
      </c>
      <c r="E314" s="44" t="inlineStr">
        <is>
          <t>Live</t>
        </is>
      </c>
      <c r="F314" s="44" t="inlineStr">
        <is>
          <t>Dead</t>
        </is>
      </c>
      <c r="G314" s="44" t="inlineStr">
        <is>
          <t>FK</t>
        </is>
      </c>
      <c r="H314" s="44" t="inlineStr">
        <is>
          <t>TB</t>
        </is>
      </c>
      <c r="I314" s="44" t="inlineStr">
        <is>
          <t>Sw</t>
        </is>
      </c>
      <c r="J314" s="44" t="inlineStr">
        <is>
          <t>Crs</t>
        </is>
      </c>
      <c r="K314" s="44" t="inlineStr">
        <is>
          <t>TI</t>
        </is>
      </c>
      <c r="L314" s="44" t="inlineStr">
        <is>
          <t>CK</t>
        </is>
      </c>
      <c r="M314" s="44" t="inlineStr">
        <is>
          <t>In</t>
        </is>
      </c>
      <c r="N314" s="44" t="inlineStr">
        <is>
          <t>Out</t>
        </is>
      </c>
      <c r="O314" s="44" t="inlineStr">
        <is>
          <t>Str</t>
        </is>
      </c>
      <c r="P314" s="44" t="inlineStr">
        <is>
          <t>Cmp</t>
        </is>
      </c>
      <c r="Q314" s="44" t="inlineStr">
        <is>
          <t>Off</t>
        </is>
      </c>
      <c r="R314" s="44" t="inlineStr">
        <is>
          <t>Blocks</t>
        </is>
      </c>
    </row>
    <row r="315" ht="18" customHeight="1" s="43">
      <c r="A315" s="3" t="inlineStr">
        <is>
          <t>vs Arsenal</t>
        </is>
      </c>
      <c r="B315" s="13" t="n">
        <v>25</v>
      </c>
      <c r="C315" s="13" t="n">
        <v>38</v>
      </c>
      <c r="D315" s="13" t="n">
        <v>15255</v>
      </c>
      <c r="E315" s="13" t="n">
        <v>13697</v>
      </c>
      <c r="F315" s="13" t="n">
        <v>1520</v>
      </c>
      <c r="G315" s="13" t="n">
        <v>461</v>
      </c>
      <c r="H315" s="13" t="n">
        <v>47</v>
      </c>
      <c r="I315" s="13" t="n">
        <v>74</v>
      </c>
      <c r="J315" s="13" t="n">
        <v>534</v>
      </c>
      <c r="K315" s="13" t="n">
        <v>526</v>
      </c>
      <c r="L315" s="13" t="n">
        <v>118</v>
      </c>
      <c r="M315" s="13" t="n">
        <v>70</v>
      </c>
      <c r="N315" s="13" t="n">
        <v>25</v>
      </c>
      <c r="O315" s="13" t="n">
        <v>2</v>
      </c>
      <c r="P315" s="13" t="n">
        <v>12192</v>
      </c>
      <c r="Q315" s="13" t="n">
        <v>38</v>
      </c>
      <c r="R315" s="13" t="n">
        <v>251</v>
      </c>
    </row>
    <row r="316" ht="17.1" customHeight="1" s="43">
      <c r="A316" s="3" t="inlineStr">
        <is>
          <t>vs Aston Villa</t>
        </is>
      </c>
      <c r="B316" s="13" t="n">
        <v>28</v>
      </c>
      <c r="C316" s="13" t="n">
        <v>38</v>
      </c>
      <c r="D316" s="13" t="n">
        <v>17377</v>
      </c>
      <c r="E316" s="13" t="n">
        <v>15839</v>
      </c>
      <c r="F316" s="13" t="n">
        <v>1445</v>
      </c>
      <c r="G316" s="13" t="n">
        <v>441</v>
      </c>
      <c r="H316" s="13" t="n">
        <v>66</v>
      </c>
      <c r="I316" s="13" t="n">
        <v>96</v>
      </c>
      <c r="J316" s="13" t="n">
        <v>683</v>
      </c>
      <c r="K316" s="13" t="n">
        <v>474</v>
      </c>
      <c r="L316" s="13" t="n">
        <v>172</v>
      </c>
      <c r="M316" s="13" t="n">
        <v>112</v>
      </c>
      <c r="N316" s="13" t="n">
        <v>30</v>
      </c>
      <c r="O316" s="13" t="n">
        <v>5</v>
      </c>
      <c r="P316" s="13" t="n">
        <v>14438</v>
      </c>
      <c r="Q316" s="13" t="n">
        <v>93</v>
      </c>
      <c r="R316" s="13" t="n">
        <v>276</v>
      </c>
    </row>
    <row r="317">
      <c r="A317" s="3" t="inlineStr">
        <is>
          <t>vs Bournemouth</t>
        </is>
      </c>
      <c r="B317" s="13" t="n">
        <v>29</v>
      </c>
      <c r="C317" s="13" t="n">
        <v>38</v>
      </c>
      <c r="D317" s="13" t="n">
        <v>18037</v>
      </c>
      <c r="E317" s="13" t="n">
        <v>16003</v>
      </c>
      <c r="F317" s="13" t="n">
        <v>1992</v>
      </c>
      <c r="G317" s="13" t="n">
        <v>569</v>
      </c>
      <c r="H317" s="13" t="n">
        <v>68</v>
      </c>
      <c r="I317" s="13" t="n">
        <v>59</v>
      </c>
      <c r="J317" s="13" t="n">
        <v>601</v>
      </c>
      <c r="K317" s="13" t="n">
        <v>800</v>
      </c>
      <c r="L317" s="13" t="n">
        <v>184</v>
      </c>
      <c r="M317" s="13" t="n">
        <v>103</v>
      </c>
      <c r="N317" s="13" t="n">
        <v>44</v>
      </c>
      <c r="O317" s="13" t="n">
        <v>4</v>
      </c>
      <c r="P317" s="13" t="n">
        <v>14072</v>
      </c>
      <c r="Q317" s="13" t="n">
        <v>42</v>
      </c>
      <c r="R317" s="13" t="n">
        <v>372</v>
      </c>
    </row>
    <row r="318">
      <c r="A318" s="3" t="inlineStr">
        <is>
          <t>vs Brentford</t>
        </is>
      </c>
      <c r="B318" s="13" t="n">
        <v>28</v>
      </c>
      <c r="C318" s="13" t="n">
        <v>38</v>
      </c>
      <c r="D318" s="13" t="n">
        <v>18708</v>
      </c>
      <c r="E318" s="13" t="n">
        <v>17074</v>
      </c>
      <c r="F318" s="13" t="n">
        <v>1576</v>
      </c>
      <c r="G318" s="13" t="n">
        <v>363</v>
      </c>
      <c r="H318" s="13" t="n">
        <v>63</v>
      </c>
      <c r="I318" s="13" t="n">
        <v>74</v>
      </c>
      <c r="J318" s="13" t="n">
        <v>793</v>
      </c>
      <c r="K318" s="13" t="n">
        <v>615</v>
      </c>
      <c r="L318" s="13" t="n">
        <v>242</v>
      </c>
      <c r="M318" s="13" t="n">
        <v>131</v>
      </c>
      <c r="N318" s="13" t="n">
        <v>61</v>
      </c>
      <c r="O318" s="13" t="n">
        <v>4</v>
      </c>
      <c r="P318" s="13" t="n">
        <v>15047</v>
      </c>
      <c r="Q318" s="13" t="n">
        <v>58</v>
      </c>
      <c r="R318" s="13" t="n">
        <v>331</v>
      </c>
    </row>
    <row r="319">
      <c r="A319" s="3" t="inlineStr">
        <is>
          <t>vs Brighton</t>
        </is>
      </c>
      <c r="B319" s="13" t="n">
        <v>32</v>
      </c>
      <c r="C319" s="13" t="n">
        <v>38</v>
      </c>
      <c r="D319" s="13" t="n">
        <v>17647</v>
      </c>
      <c r="E319" s="13" t="n">
        <v>15881</v>
      </c>
      <c r="F319" s="13" t="n">
        <v>1678</v>
      </c>
      <c r="G319" s="13" t="n">
        <v>460</v>
      </c>
      <c r="H319" s="13" t="n">
        <v>53</v>
      </c>
      <c r="I319" s="13" t="n">
        <v>82</v>
      </c>
      <c r="J319" s="13" t="n">
        <v>543</v>
      </c>
      <c r="K319" s="13" t="n">
        <v>634</v>
      </c>
      <c r="L319" s="13" t="n">
        <v>182</v>
      </c>
      <c r="M319" s="13" t="n">
        <v>130</v>
      </c>
      <c r="N319" s="13" t="n">
        <v>23</v>
      </c>
      <c r="O319" s="13" t="n">
        <v>4</v>
      </c>
      <c r="P319" s="13" t="n">
        <v>14240</v>
      </c>
      <c r="Q319" s="13" t="n">
        <v>88</v>
      </c>
      <c r="R319" s="13" t="n">
        <v>334</v>
      </c>
    </row>
    <row r="320">
      <c r="A320" s="3" t="inlineStr">
        <is>
          <t>vs Chelsea</t>
        </is>
      </c>
      <c r="B320" s="13" t="n">
        <v>29</v>
      </c>
      <c r="C320" s="13" t="n">
        <v>38</v>
      </c>
      <c r="D320" s="13" t="n">
        <v>16240</v>
      </c>
      <c r="E320" s="13" t="n">
        <v>14557</v>
      </c>
      <c r="F320" s="13" t="n">
        <v>1595</v>
      </c>
      <c r="G320" s="13" t="n">
        <v>461</v>
      </c>
      <c r="H320" s="13" t="n">
        <v>55</v>
      </c>
      <c r="I320" s="13" t="n">
        <v>59</v>
      </c>
      <c r="J320" s="13" t="n">
        <v>543</v>
      </c>
      <c r="K320" s="13" t="n">
        <v>583</v>
      </c>
      <c r="L320" s="13" t="n">
        <v>139</v>
      </c>
      <c r="M320" s="13" t="n">
        <v>81</v>
      </c>
      <c r="N320" s="13" t="n">
        <v>36</v>
      </c>
      <c r="O320" s="13" t="n">
        <v>1</v>
      </c>
      <c r="P320" s="13" t="n">
        <v>13008</v>
      </c>
      <c r="Q320" s="13" t="n">
        <v>88</v>
      </c>
      <c r="R320" s="13" t="n">
        <v>297</v>
      </c>
    </row>
    <row r="321" ht="17.1" customHeight="1" s="43">
      <c r="A321" s="3" t="inlineStr">
        <is>
          <t>vs Crystal Palace</t>
        </is>
      </c>
      <c r="B321" s="13" t="n">
        <v>29</v>
      </c>
      <c r="C321" s="13" t="n">
        <v>38</v>
      </c>
      <c r="D321" s="13" t="n">
        <v>21227</v>
      </c>
      <c r="E321" s="13" t="n">
        <v>19439</v>
      </c>
      <c r="F321" s="13" t="n">
        <v>1741</v>
      </c>
      <c r="G321" s="13" t="n">
        <v>473</v>
      </c>
      <c r="H321" s="13" t="n">
        <v>66</v>
      </c>
      <c r="I321" s="13" t="n">
        <v>78</v>
      </c>
      <c r="J321" s="13" t="n">
        <v>716</v>
      </c>
      <c r="K321" s="13" t="n">
        <v>717</v>
      </c>
      <c r="L321" s="13" t="n">
        <v>214</v>
      </c>
      <c r="M321" s="13" t="n">
        <v>135</v>
      </c>
      <c r="N321" s="13" t="n">
        <v>44</v>
      </c>
      <c r="O321" s="13" t="n">
        <v>7</v>
      </c>
      <c r="P321" s="13" t="n">
        <v>17325</v>
      </c>
      <c r="Q321" s="13" t="n">
        <v>47</v>
      </c>
      <c r="R321" s="13" t="n">
        <v>399</v>
      </c>
    </row>
    <row r="322">
      <c r="A322" s="3" t="inlineStr">
        <is>
          <t>vs Everton</t>
        </is>
      </c>
      <c r="B322" s="13" t="n">
        <v>26</v>
      </c>
      <c r="C322" s="13" t="n">
        <v>38</v>
      </c>
      <c r="D322" s="13" t="n">
        <v>21623</v>
      </c>
      <c r="E322" s="13" t="n">
        <v>19822</v>
      </c>
      <c r="F322" s="13" t="n">
        <v>1750</v>
      </c>
      <c r="G322" s="13" t="n">
        <v>489</v>
      </c>
      <c r="H322" s="13" t="n">
        <v>68</v>
      </c>
      <c r="I322" s="13" t="n">
        <v>106</v>
      </c>
      <c r="J322" s="13" t="n">
        <v>731</v>
      </c>
      <c r="K322" s="13" t="n">
        <v>708</v>
      </c>
      <c r="L322" s="13" t="n">
        <v>229</v>
      </c>
      <c r="M322" s="13" t="n">
        <v>146</v>
      </c>
      <c r="N322" s="13" t="n">
        <v>42</v>
      </c>
      <c r="O322" s="13" t="n">
        <v>7</v>
      </c>
      <c r="P322" s="13" t="n">
        <v>17944</v>
      </c>
      <c r="Q322" s="13" t="n">
        <v>51</v>
      </c>
      <c r="R322" s="13" t="n">
        <v>304</v>
      </c>
    </row>
    <row r="323">
      <c r="A323" s="3" t="inlineStr">
        <is>
          <t>vs Fulham</t>
        </is>
      </c>
      <c r="B323" s="13" t="n">
        <v>26</v>
      </c>
      <c r="C323" s="13" t="n">
        <v>38</v>
      </c>
      <c r="D323" s="13" t="n">
        <v>18069</v>
      </c>
      <c r="E323" s="13" t="n">
        <v>16368</v>
      </c>
      <c r="F323" s="13" t="n">
        <v>1618</v>
      </c>
      <c r="G323" s="13" t="n">
        <v>445</v>
      </c>
      <c r="H323" s="13" t="n">
        <v>75</v>
      </c>
      <c r="I323" s="13" t="n">
        <v>96</v>
      </c>
      <c r="J323" s="13" t="n">
        <v>632</v>
      </c>
      <c r="K323" s="13" t="n">
        <v>613</v>
      </c>
      <c r="L323" s="13" t="n">
        <v>172</v>
      </c>
      <c r="M323" s="13" t="n">
        <v>122</v>
      </c>
      <c r="N323" s="13" t="n">
        <v>26</v>
      </c>
      <c r="O323" s="13" t="n">
        <v>3</v>
      </c>
      <c r="P323" s="13" t="n">
        <v>14692</v>
      </c>
      <c r="Q323" s="13" t="n">
        <v>83</v>
      </c>
      <c r="R323" s="13" t="n">
        <v>310</v>
      </c>
    </row>
    <row r="324">
      <c r="A324" s="3" t="inlineStr">
        <is>
          <t>vs Ipswich Town</t>
        </is>
      </c>
      <c r="B324" s="13" t="n">
        <v>32</v>
      </c>
      <c r="C324" s="13" t="n">
        <v>38</v>
      </c>
      <c r="D324" s="13" t="n">
        <v>21940</v>
      </c>
      <c r="E324" s="13" t="n">
        <v>20230</v>
      </c>
      <c r="F324" s="13" t="n">
        <v>1668</v>
      </c>
      <c r="G324" s="13" t="n">
        <v>459</v>
      </c>
      <c r="H324" s="13" t="n">
        <v>82</v>
      </c>
      <c r="I324" s="13" t="n">
        <v>104</v>
      </c>
      <c r="J324" s="13" t="n">
        <v>778</v>
      </c>
      <c r="K324" s="13" t="n">
        <v>680</v>
      </c>
      <c r="L324" s="13" t="n">
        <v>249</v>
      </c>
      <c r="M324" s="13" t="n">
        <v>136</v>
      </c>
      <c r="N324" s="13" t="n">
        <v>31</v>
      </c>
      <c r="O324" s="13" t="n">
        <v>6</v>
      </c>
      <c r="P324" s="13" t="n">
        <v>18380</v>
      </c>
      <c r="Q324" s="13" t="n">
        <v>42</v>
      </c>
      <c r="R324" s="13" t="n">
        <v>301</v>
      </c>
    </row>
    <row r="325">
      <c r="A325" s="3" t="inlineStr">
        <is>
          <t>vs Leicester City</t>
        </is>
      </c>
      <c r="B325" s="13" t="n">
        <v>32</v>
      </c>
      <c r="C325" s="13" t="n">
        <v>38</v>
      </c>
      <c r="D325" s="13" t="n">
        <v>21079</v>
      </c>
      <c r="E325" s="13" t="n">
        <v>19351</v>
      </c>
      <c r="F325" s="13" t="n">
        <v>1667</v>
      </c>
      <c r="G325" s="13" t="n">
        <v>453</v>
      </c>
      <c r="H325" s="13" t="n">
        <v>60</v>
      </c>
      <c r="I325" s="13" t="n">
        <v>133</v>
      </c>
      <c r="J325" s="13" t="n">
        <v>751</v>
      </c>
      <c r="K325" s="13" t="n">
        <v>686</v>
      </c>
      <c r="L325" s="13" t="n">
        <v>230</v>
      </c>
      <c r="M325" s="13" t="n">
        <v>130</v>
      </c>
      <c r="N325" s="13" t="n">
        <v>48</v>
      </c>
      <c r="O325" s="13" t="n">
        <v>1</v>
      </c>
      <c r="P325" s="13" t="n">
        <v>17576</v>
      </c>
      <c r="Q325" s="13" t="n">
        <v>61</v>
      </c>
      <c r="R325" s="13" t="n">
        <v>363</v>
      </c>
    </row>
    <row r="326">
      <c r="A326" s="3" t="inlineStr">
        <is>
          <t>vs Liverpool</t>
        </is>
      </c>
      <c r="B326" s="13" t="n">
        <v>24</v>
      </c>
      <c r="C326" s="13" t="n">
        <v>38</v>
      </c>
      <c r="D326" s="13" t="n">
        <v>15957</v>
      </c>
      <c r="E326" s="13" t="n">
        <v>14217</v>
      </c>
      <c r="F326" s="13" t="n">
        <v>1644</v>
      </c>
      <c r="G326" s="13" t="n">
        <v>465</v>
      </c>
      <c r="H326" s="13" t="n">
        <v>66</v>
      </c>
      <c r="I326" s="13" t="n">
        <v>73</v>
      </c>
      <c r="J326" s="13" t="n">
        <v>500</v>
      </c>
      <c r="K326" s="13" t="n">
        <v>569</v>
      </c>
      <c r="L326" s="13" t="n">
        <v>139</v>
      </c>
      <c r="M326" s="13" t="n">
        <v>81</v>
      </c>
      <c r="N326" s="13" t="n">
        <v>21</v>
      </c>
      <c r="O326" s="13" t="n">
        <v>5</v>
      </c>
      <c r="P326" s="13" t="n">
        <v>12622</v>
      </c>
      <c r="Q326" s="13" t="n">
        <v>96</v>
      </c>
      <c r="R326" s="13" t="n">
        <v>312</v>
      </c>
    </row>
    <row r="327">
      <c r="A327" s="3" t="inlineStr">
        <is>
          <t>vs Manchester City</t>
        </is>
      </c>
      <c r="B327" s="13" t="n">
        <v>30</v>
      </c>
      <c r="C327" s="13" t="n">
        <v>38</v>
      </c>
      <c r="D327" s="13" t="n">
        <v>15459</v>
      </c>
      <c r="E327" s="13" t="n">
        <v>14002</v>
      </c>
      <c r="F327" s="13" t="n">
        <v>1372</v>
      </c>
      <c r="G327" s="13" t="n">
        <v>323</v>
      </c>
      <c r="H327" s="13" t="n">
        <v>67</v>
      </c>
      <c r="I327" s="13" t="n">
        <v>92</v>
      </c>
      <c r="J327" s="13" t="n">
        <v>455</v>
      </c>
      <c r="K327" s="13" t="n">
        <v>521</v>
      </c>
      <c r="L327" s="13" t="n">
        <v>123</v>
      </c>
      <c r="M327" s="13" t="n">
        <v>80</v>
      </c>
      <c r="N327" s="13" t="n">
        <v>19</v>
      </c>
      <c r="O327" s="13" t="n">
        <v>8</v>
      </c>
      <c r="P327" s="13" t="n">
        <v>12668</v>
      </c>
      <c r="Q327" s="13" t="n">
        <v>85</v>
      </c>
      <c r="R327" s="13" t="n">
        <v>273</v>
      </c>
    </row>
    <row r="328">
      <c r="A328" s="3" t="inlineStr">
        <is>
          <t>vs Manchester Utd</t>
        </is>
      </c>
      <c r="B328" s="13" t="n">
        <v>31</v>
      </c>
      <c r="C328" s="13" t="n">
        <v>38</v>
      </c>
      <c r="D328" s="13" t="n">
        <v>17770</v>
      </c>
      <c r="E328" s="13" t="n">
        <v>16138</v>
      </c>
      <c r="F328" s="13" t="n">
        <v>1575</v>
      </c>
      <c r="G328" s="13" t="n">
        <v>451</v>
      </c>
      <c r="H328" s="13" t="n">
        <v>61</v>
      </c>
      <c r="I328" s="13" t="n">
        <v>73</v>
      </c>
      <c r="J328" s="13" t="n">
        <v>598</v>
      </c>
      <c r="K328" s="13" t="n">
        <v>605</v>
      </c>
      <c r="L328" s="13" t="n">
        <v>180</v>
      </c>
      <c r="M328" s="13" t="n">
        <v>114</v>
      </c>
      <c r="N328" s="13" t="n">
        <v>29</v>
      </c>
      <c r="O328" s="13" t="n">
        <v>4</v>
      </c>
      <c r="P328" s="13" t="n">
        <v>14277</v>
      </c>
      <c r="Q328" s="13" t="n">
        <v>57</v>
      </c>
      <c r="R328" s="13" t="n">
        <v>323</v>
      </c>
    </row>
    <row r="329" ht="15.75" customHeight="1" s="43">
      <c r="A329" s="3" t="inlineStr">
        <is>
          <t>vs Newcastle Utd</t>
        </is>
      </c>
      <c r="B329" s="13" t="n">
        <v>24</v>
      </c>
      <c r="C329" s="13" t="n">
        <v>38</v>
      </c>
      <c r="D329" s="13" t="n">
        <v>17858</v>
      </c>
      <c r="E329" s="13" t="n">
        <v>16153</v>
      </c>
      <c r="F329" s="13" t="n">
        <v>1662</v>
      </c>
      <c r="G329" s="13" t="n">
        <v>449</v>
      </c>
      <c r="H329" s="13" t="n">
        <v>71</v>
      </c>
      <c r="I329" s="13" t="n">
        <v>73</v>
      </c>
      <c r="J329" s="13" t="n">
        <v>651</v>
      </c>
      <c r="K329" s="13" t="n">
        <v>595</v>
      </c>
      <c r="L329" s="13" t="n">
        <v>202</v>
      </c>
      <c r="M329" s="13" t="n">
        <v>100</v>
      </c>
      <c r="N329" s="13" t="n">
        <v>51</v>
      </c>
      <c r="O329" s="13" t="n">
        <v>1</v>
      </c>
      <c r="P329" s="13" t="n">
        <v>14333</v>
      </c>
      <c r="Q329" s="13" t="n">
        <v>43</v>
      </c>
      <c r="R329" s="13" t="n">
        <v>344</v>
      </c>
    </row>
    <row r="330">
      <c r="A330" s="3" t="inlineStr">
        <is>
          <t>vs Nott'ham Forest</t>
        </is>
      </c>
      <c r="B330" s="13" t="n">
        <v>23</v>
      </c>
      <c r="C330" s="13" t="n">
        <v>38</v>
      </c>
      <c r="D330" s="13" t="n">
        <v>20628</v>
      </c>
      <c r="E330" s="13" t="n">
        <v>18868</v>
      </c>
      <c r="F330" s="13" t="n">
        <v>1724</v>
      </c>
      <c r="G330" s="13" t="n">
        <v>473</v>
      </c>
      <c r="H330" s="13" t="n">
        <v>45</v>
      </c>
      <c r="I330" s="13" t="n">
        <v>87</v>
      </c>
      <c r="J330" s="13" t="n">
        <v>886</v>
      </c>
      <c r="K330" s="13" t="n">
        <v>653</v>
      </c>
      <c r="L330" s="13" t="n">
        <v>241</v>
      </c>
      <c r="M330" s="13" t="n">
        <v>156</v>
      </c>
      <c r="N330" s="13" t="n">
        <v>48</v>
      </c>
      <c r="O330" s="13" t="n">
        <v>1</v>
      </c>
      <c r="P330" s="13" t="n">
        <v>16966</v>
      </c>
      <c r="Q330" s="13" t="n">
        <v>36</v>
      </c>
      <c r="R330" s="13" t="n">
        <v>328</v>
      </c>
    </row>
    <row r="331" ht="18" customHeight="1" s="43">
      <c r="A331" s="3" t="inlineStr">
        <is>
          <t>vs Southampton</t>
        </is>
      </c>
      <c r="B331" s="13" t="n">
        <v>36</v>
      </c>
      <c r="C331" s="13" t="n">
        <v>38</v>
      </c>
      <c r="D331" s="13" t="n">
        <v>19683</v>
      </c>
      <c r="E331" s="13" t="n">
        <v>18108</v>
      </c>
      <c r="F331" s="13" t="n">
        <v>1526</v>
      </c>
      <c r="G331" s="13" t="n">
        <v>474</v>
      </c>
      <c r="H331" s="13" t="n">
        <v>73</v>
      </c>
      <c r="I331" s="13" t="n">
        <v>70</v>
      </c>
      <c r="J331" s="13" t="n">
        <v>758</v>
      </c>
      <c r="K331" s="13" t="n">
        <v>570</v>
      </c>
      <c r="L331" s="13" t="n">
        <v>242</v>
      </c>
      <c r="M331" s="13" t="n">
        <v>151</v>
      </c>
      <c r="N331" s="13" t="n">
        <v>40</v>
      </c>
      <c r="O331" s="13" t="n">
        <v>4</v>
      </c>
      <c r="P331" s="13" t="n">
        <v>16575</v>
      </c>
      <c r="Q331" s="13" t="n">
        <v>49</v>
      </c>
      <c r="R331" s="13" t="n">
        <v>287</v>
      </c>
    </row>
    <row r="332" ht="17.1" customHeight="1" s="43">
      <c r="A332" s="3" t="inlineStr">
        <is>
          <t>vs Tottenham</t>
        </is>
      </c>
      <c r="B332" s="13" t="n">
        <v>31</v>
      </c>
      <c r="C332" s="13" t="n">
        <v>38</v>
      </c>
      <c r="D332" s="13" t="n">
        <v>16529</v>
      </c>
      <c r="E332" s="13" t="n">
        <v>14781</v>
      </c>
      <c r="F332" s="13" t="n">
        <v>1661</v>
      </c>
      <c r="G332" s="13" t="n">
        <v>490</v>
      </c>
      <c r="H332" s="13" t="n">
        <v>63</v>
      </c>
      <c r="I332" s="13" t="n">
        <v>100</v>
      </c>
      <c r="J332" s="13" t="n">
        <v>697</v>
      </c>
      <c r="K332" s="13" t="n">
        <v>593</v>
      </c>
      <c r="L332" s="13" t="n">
        <v>206</v>
      </c>
      <c r="M332" s="13" t="n">
        <v>121</v>
      </c>
      <c r="N332" s="13" t="n">
        <v>47</v>
      </c>
      <c r="O332" s="13" t="n">
        <v>2</v>
      </c>
      <c r="P332" s="13" t="n">
        <v>13104</v>
      </c>
      <c r="Q332" s="13" t="n">
        <v>87</v>
      </c>
      <c r="R332" s="13" t="n">
        <v>350</v>
      </c>
    </row>
    <row r="333">
      <c r="A333" s="3" t="inlineStr">
        <is>
          <t>vs West Ham</t>
        </is>
      </c>
      <c r="B333" s="13" t="n">
        <v>27</v>
      </c>
      <c r="C333" s="13" t="n">
        <v>38</v>
      </c>
      <c r="D333" s="13" t="n">
        <v>19489</v>
      </c>
      <c r="E333" s="13" t="n">
        <v>17708</v>
      </c>
      <c r="F333" s="13" t="n">
        <v>1726</v>
      </c>
      <c r="G333" s="13" t="n">
        <v>494</v>
      </c>
      <c r="H333" s="13" t="n">
        <v>79</v>
      </c>
      <c r="I333" s="13" t="n">
        <v>79</v>
      </c>
      <c r="J333" s="13" t="n">
        <v>811</v>
      </c>
      <c r="K333" s="13" t="n">
        <v>701</v>
      </c>
      <c r="L333" s="13" t="n">
        <v>208</v>
      </c>
      <c r="M333" s="13" t="n">
        <v>108</v>
      </c>
      <c r="N333" s="13" t="n">
        <v>44</v>
      </c>
      <c r="O333" s="13" t="n">
        <v>7</v>
      </c>
      <c r="P333" s="13" t="n">
        <v>15814</v>
      </c>
      <c r="Q333" s="13" t="n">
        <v>55</v>
      </c>
      <c r="R333" s="13" t="n">
        <v>324</v>
      </c>
    </row>
    <row r="334">
      <c r="A334" s="3" t="inlineStr">
        <is>
          <t>vs Wolves</t>
        </is>
      </c>
      <c r="B334" s="13" t="n">
        <v>32</v>
      </c>
      <c r="C334" s="13" t="n">
        <v>38</v>
      </c>
      <c r="D334" s="13" t="n">
        <v>19341</v>
      </c>
      <c r="E334" s="13" t="n">
        <v>17527</v>
      </c>
      <c r="F334" s="13" t="n">
        <v>1738</v>
      </c>
      <c r="G334" s="13" t="n">
        <v>510</v>
      </c>
      <c r="H334" s="13" t="n">
        <v>62</v>
      </c>
      <c r="I334" s="13" t="n">
        <v>78</v>
      </c>
      <c r="J334" s="13" t="n">
        <v>714</v>
      </c>
      <c r="K334" s="13" t="n">
        <v>659</v>
      </c>
      <c r="L334" s="13" t="n">
        <v>217</v>
      </c>
      <c r="M334" s="13" t="n">
        <v>133</v>
      </c>
      <c r="N334" s="13" t="n">
        <v>43</v>
      </c>
      <c r="O334" s="13" t="n">
        <v>0</v>
      </c>
      <c r="P334" s="13" t="n">
        <v>15875</v>
      </c>
      <c r="Q334" s="13" t="n">
        <v>76</v>
      </c>
      <c r="R334" s="13" t="n">
        <v>353</v>
      </c>
    </row>
    <row r="335" ht="15.75" customHeight="1" s="43"/>
    <row r="336">
      <c r="A336" s="45" t="inlineStr">
        <is>
          <t>Squad Goal and Shot Creation 2024-2025 Premier League Table</t>
        </is>
      </c>
    </row>
    <row r="337" ht="18" customHeight="1" s="43">
      <c r="A337" s="44" t="n"/>
      <c r="D337" s="44" t="inlineStr">
        <is>
          <t>SCA</t>
        </is>
      </c>
      <c r="F337" s="44" t="inlineStr">
        <is>
          <t>SCA Types</t>
        </is>
      </c>
      <c r="L337" s="44" t="inlineStr">
        <is>
          <t>GCA</t>
        </is>
      </c>
      <c r="N337" s="44" t="inlineStr">
        <is>
          <t>GCA Types</t>
        </is>
      </c>
    </row>
    <row r="338" ht="17.1" customHeight="1" s="43">
      <c r="A338" s="44" t="inlineStr">
        <is>
          <t>Squad</t>
        </is>
      </c>
      <c r="B338" s="44" t="inlineStr">
        <is>
          <t># Pl</t>
        </is>
      </c>
      <c r="C338" s="44" t="inlineStr">
        <is>
          <t>90s</t>
        </is>
      </c>
      <c r="D338" s="44" t="inlineStr">
        <is>
          <t>SCA</t>
        </is>
      </c>
      <c r="E338" s="44" t="inlineStr">
        <is>
          <t>SCA90</t>
        </is>
      </c>
      <c r="F338" s="44" t="inlineStr">
        <is>
          <t>PassLive</t>
        </is>
      </c>
      <c r="G338" s="44" t="inlineStr">
        <is>
          <t>PassDead</t>
        </is>
      </c>
      <c r="H338" s="44" t="inlineStr">
        <is>
          <t>TO</t>
        </is>
      </c>
      <c r="I338" s="44" t="inlineStr">
        <is>
          <t>Sh</t>
        </is>
      </c>
      <c r="J338" s="44" t="inlineStr">
        <is>
          <t>Fld</t>
        </is>
      </c>
      <c r="K338" s="44" t="inlineStr">
        <is>
          <t>Def</t>
        </is>
      </c>
      <c r="L338" s="44" t="inlineStr">
        <is>
          <t>GCA</t>
        </is>
      </c>
      <c r="M338" s="44" t="inlineStr">
        <is>
          <t>GCA90</t>
        </is>
      </c>
      <c r="N338" s="44" t="inlineStr">
        <is>
          <t>PassLive</t>
        </is>
      </c>
      <c r="O338" s="44" t="inlineStr">
        <is>
          <t>PassDead</t>
        </is>
      </c>
      <c r="P338" s="44" t="inlineStr">
        <is>
          <t>TO</t>
        </is>
      </c>
      <c r="Q338" s="44" t="inlineStr">
        <is>
          <t>Sh</t>
        </is>
      </c>
      <c r="R338" s="44" t="inlineStr">
        <is>
          <t>Fld</t>
        </is>
      </c>
      <c r="S338" s="44" t="inlineStr">
        <is>
          <t>Def</t>
        </is>
      </c>
    </row>
    <row r="339">
      <c r="A339" s="3" t="inlineStr">
        <is>
          <t>Arsenal</t>
        </is>
      </c>
      <c r="B339" s="13" t="n">
        <v>25</v>
      </c>
      <c r="C339" s="13" t="n">
        <v>38</v>
      </c>
      <c r="D339" s="13" t="n">
        <v>969</v>
      </c>
      <c r="E339" s="13" t="n">
        <v>25.5</v>
      </c>
      <c r="F339" s="13" t="n">
        <v>726</v>
      </c>
      <c r="G339" s="13" t="n">
        <v>82</v>
      </c>
      <c r="H339" s="13" t="n">
        <v>52</v>
      </c>
      <c r="I339" s="13" t="n">
        <v>64</v>
      </c>
      <c r="J339" s="13" t="n">
        <v>34</v>
      </c>
      <c r="K339" s="13" t="n">
        <v>11</v>
      </c>
      <c r="L339" s="13" t="n">
        <v>119</v>
      </c>
      <c r="M339" s="13" t="n">
        <v>3.13</v>
      </c>
      <c r="N339" s="13" t="n">
        <v>86</v>
      </c>
      <c r="O339" s="13" t="n">
        <v>11</v>
      </c>
      <c r="P339" s="13" t="n">
        <v>6</v>
      </c>
      <c r="Q339" s="13" t="n">
        <v>11</v>
      </c>
      <c r="R339" s="13" t="n">
        <v>4</v>
      </c>
      <c r="S339" s="13" t="n">
        <v>1</v>
      </c>
    </row>
    <row r="340">
      <c r="A340" s="3" t="inlineStr">
        <is>
          <t>Aston Villa</t>
        </is>
      </c>
      <c r="B340" s="13" t="n">
        <v>28</v>
      </c>
      <c r="C340" s="13" t="n">
        <v>38</v>
      </c>
      <c r="D340" s="13" t="n">
        <v>849</v>
      </c>
      <c r="E340" s="13" t="n">
        <v>22.34</v>
      </c>
      <c r="F340" s="13" t="n">
        <v>602</v>
      </c>
      <c r="G340" s="13" t="n">
        <v>85</v>
      </c>
      <c r="H340" s="13" t="n">
        <v>51</v>
      </c>
      <c r="I340" s="13" t="n">
        <v>58</v>
      </c>
      <c r="J340" s="13" t="n">
        <v>39</v>
      </c>
      <c r="K340" s="13" t="n">
        <v>14</v>
      </c>
      <c r="L340" s="13" t="n">
        <v>102</v>
      </c>
      <c r="M340" s="13" t="n">
        <v>2.68</v>
      </c>
      <c r="N340" s="13" t="n">
        <v>80</v>
      </c>
      <c r="O340" s="13" t="n">
        <v>7</v>
      </c>
      <c r="P340" s="13" t="n">
        <v>3</v>
      </c>
      <c r="Q340" s="13" t="n">
        <v>6</v>
      </c>
      <c r="R340" s="13" t="n">
        <v>4</v>
      </c>
      <c r="S340" s="13" t="n">
        <v>2</v>
      </c>
    </row>
    <row r="341">
      <c r="A341" s="3" t="inlineStr">
        <is>
          <t>Bournemouth</t>
        </is>
      </c>
      <c r="B341" s="13" t="n">
        <v>29</v>
      </c>
      <c r="C341" s="13" t="n">
        <v>38</v>
      </c>
      <c r="D341" s="13" t="n">
        <v>1012</v>
      </c>
      <c r="E341" s="13" t="n">
        <v>26.63</v>
      </c>
      <c r="F341" s="13" t="n">
        <v>767</v>
      </c>
      <c r="G341" s="13" t="n">
        <v>68</v>
      </c>
      <c r="H341" s="13" t="n">
        <v>44</v>
      </c>
      <c r="I341" s="13" t="n">
        <v>70</v>
      </c>
      <c r="J341" s="13" t="n">
        <v>42</v>
      </c>
      <c r="K341" s="13" t="n">
        <v>21</v>
      </c>
      <c r="L341" s="13" t="n">
        <v>93</v>
      </c>
      <c r="M341" s="13" t="n">
        <v>2.45</v>
      </c>
      <c r="N341" s="13" t="n">
        <v>62</v>
      </c>
      <c r="O341" s="13" t="n">
        <v>6</v>
      </c>
      <c r="P341" s="13" t="n">
        <v>5</v>
      </c>
      <c r="Q341" s="13" t="n">
        <v>8</v>
      </c>
      <c r="R341" s="13" t="n">
        <v>10</v>
      </c>
      <c r="S341" s="13" t="n">
        <v>2</v>
      </c>
    </row>
    <row r="342">
      <c r="A342" s="3" t="inlineStr">
        <is>
          <t>Brentford</t>
        </is>
      </c>
      <c r="B342" s="13" t="n">
        <v>28</v>
      </c>
      <c r="C342" s="13" t="n">
        <v>38</v>
      </c>
      <c r="D342" s="13" t="n">
        <v>780</v>
      </c>
      <c r="E342" s="13" t="n">
        <v>20.53</v>
      </c>
      <c r="F342" s="13" t="n">
        <v>569</v>
      </c>
      <c r="G342" s="13" t="n">
        <v>74</v>
      </c>
      <c r="H342" s="13" t="n">
        <v>40</v>
      </c>
      <c r="I342" s="13" t="n">
        <v>51</v>
      </c>
      <c r="J342" s="13" t="n">
        <v>35</v>
      </c>
      <c r="K342" s="13" t="n">
        <v>11</v>
      </c>
      <c r="L342" s="13" t="n">
        <v>113</v>
      </c>
      <c r="M342" s="13" t="n">
        <v>2.97</v>
      </c>
      <c r="N342" s="13" t="n">
        <v>78</v>
      </c>
      <c r="O342" s="13" t="n">
        <v>11</v>
      </c>
      <c r="P342" s="13" t="n">
        <v>5</v>
      </c>
      <c r="Q342" s="13" t="n">
        <v>9</v>
      </c>
      <c r="R342" s="13" t="n">
        <v>9</v>
      </c>
      <c r="S342" s="13" t="n">
        <v>1</v>
      </c>
    </row>
    <row r="343">
      <c r="A343" s="3" t="inlineStr">
        <is>
          <t>Brighton</t>
        </is>
      </c>
      <c r="B343" s="13" t="n">
        <v>32</v>
      </c>
      <c r="C343" s="13" t="n">
        <v>38</v>
      </c>
      <c r="D343" s="13" t="n">
        <v>933</v>
      </c>
      <c r="E343" s="13" t="n">
        <v>24.55</v>
      </c>
      <c r="F343" s="13" t="n">
        <v>685</v>
      </c>
      <c r="G343" s="13" t="n">
        <v>70</v>
      </c>
      <c r="H343" s="13" t="n">
        <v>56</v>
      </c>
      <c r="I343" s="13" t="n">
        <v>53</v>
      </c>
      <c r="J343" s="13" t="n">
        <v>55</v>
      </c>
      <c r="K343" s="13" t="n">
        <v>14</v>
      </c>
      <c r="L343" s="13" t="n">
        <v>113</v>
      </c>
      <c r="M343" s="13" t="n">
        <v>2.97</v>
      </c>
      <c r="N343" s="13" t="n">
        <v>78</v>
      </c>
      <c r="O343" s="13" t="n">
        <v>7</v>
      </c>
      <c r="P343" s="13" t="n">
        <v>10</v>
      </c>
      <c r="Q343" s="13" t="n">
        <v>6</v>
      </c>
      <c r="R343" s="13" t="n">
        <v>10</v>
      </c>
      <c r="S343" s="13" t="n">
        <v>2</v>
      </c>
    </row>
    <row r="344">
      <c r="A344" s="3" t="inlineStr">
        <is>
          <t>Chelsea</t>
        </is>
      </c>
      <c r="B344" s="13" t="n">
        <v>29</v>
      </c>
      <c r="C344" s="13" t="n">
        <v>38</v>
      </c>
      <c r="D344" s="13" t="n">
        <v>1061</v>
      </c>
      <c r="E344" s="13" t="n">
        <v>27.92</v>
      </c>
      <c r="F344" s="13" t="n">
        <v>811</v>
      </c>
      <c r="G344" s="13" t="n">
        <v>60</v>
      </c>
      <c r="H344" s="13" t="n">
        <v>58</v>
      </c>
      <c r="I344" s="13" t="n">
        <v>70</v>
      </c>
      <c r="J344" s="13" t="n">
        <v>39</v>
      </c>
      <c r="K344" s="13" t="n">
        <v>23</v>
      </c>
      <c r="L344" s="13" t="n">
        <v>109</v>
      </c>
      <c r="M344" s="13" t="n">
        <v>2.87</v>
      </c>
      <c r="N344" s="13" t="n">
        <v>75</v>
      </c>
      <c r="O344" s="13" t="n">
        <v>5</v>
      </c>
      <c r="P344" s="13" t="n">
        <v>9</v>
      </c>
      <c r="Q344" s="13" t="n">
        <v>9</v>
      </c>
      <c r="R344" s="13" t="n">
        <v>7</v>
      </c>
      <c r="S344" s="13" t="n">
        <v>4</v>
      </c>
    </row>
    <row r="345" ht="17.1" customHeight="1" s="43">
      <c r="A345" s="3" t="inlineStr">
        <is>
          <t>Crystal Palace</t>
        </is>
      </c>
      <c r="B345" s="13" t="n">
        <v>29</v>
      </c>
      <c r="C345" s="13" t="n">
        <v>38</v>
      </c>
      <c r="D345" s="13" t="n">
        <v>877</v>
      </c>
      <c r="E345" s="13" t="n">
        <v>23.08</v>
      </c>
      <c r="F345" s="13" t="n">
        <v>633</v>
      </c>
      <c r="G345" s="13" t="n">
        <v>76</v>
      </c>
      <c r="H345" s="13" t="n">
        <v>33</v>
      </c>
      <c r="I345" s="13" t="n">
        <v>71</v>
      </c>
      <c r="J345" s="13" t="n">
        <v>48</v>
      </c>
      <c r="K345" s="13" t="n">
        <v>16</v>
      </c>
      <c r="L345" s="13" t="n">
        <v>89</v>
      </c>
      <c r="M345" s="13" t="n">
        <v>2.34</v>
      </c>
      <c r="N345" s="13" t="n">
        <v>60</v>
      </c>
      <c r="O345" s="13" t="n">
        <v>8</v>
      </c>
      <c r="P345" s="13" t="n">
        <v>6</v>
      </c>
      <c r="Q345" s="13" t="n">
        <v>8</v>
      </c>
      <c r="R345" s="13" t="n">
        <v>6</v>
      </c>
      <c r="S345" s="13" t="n">
        <v>1</v>
      </c>
    </row>
    <row r="346">
      <c r="A346" s="3" t="inlineStr">
        <is>
          <t>Everton</t>
        </is>
      </c>
      <c r="B346" s="13" t="n">
        <v>26</v>
      </c>
      <c r="C346" s="13" t="n">
        <v>38</v>
      </c>
      <c r="D346" s="13" t="n">
        <v>713</v>
      </c>
      <c r="E346" s="13" t="n">
        <v>18.76</v>
      </c>
      <c r="F346" s="13" t="n">
        <v>530</v>
      </c>
      <c r="G346" s="13" t="n">
        <v>65</v>
      </c>
      <c r="H346" s="13" t="n">
        <v>44</v>
      </c>
      <c r="I346" s="13" t="n">
        <v>31</v>
      </c>
      <c r="J346" s="13" t="n">
        <v>31</v>
      </c>
      <c r="K346" s="13" t="n">
        <v>12</v>
      </c>
      <c r="L346" s="13" t="n">
        <v>68</v>
      </c>
      <c r="M346" s="13" t="n">
        <v>1.79</v>
      </c>
      <c r="N346" s="13" t="n">
        <v>46</v>
      </c>
      <c r="O346" s="13" t="n">
        <v>4</v>
      </c>
      <c r="P346" s="13" t="n">
        <v>6</v>
      </c>
      <c r="Q346" s="13" t="n">
        <v>4</v>
      </c>
      <c r="R346" s="13" t="n">
        <v>5</v>
      </c>
      <c r="S346" s="13" t="n">
        <v>3</v>
      </c>
    </row>
    <row r="347">
      <c r="A347" s="3" t="inlineStr">
        <is>
          <t>Fulham</t>
        </is>
      </c>
      <c r="B347" s="13" t="n">
        <v>26</v>
      </c>
      <c r="C347" s="13" t="n">
        <v>38</v>
      </c>
      <c r="D347" s="13" t="n">
        <v>940</v>
      </c>
      <c r="E347" s="13" t="n">
        <v>24.74</v>
      </c>
      <c r="F347" s="13" t="n">
        <v>718</v>
      </c>
      <c r="G347" s="13" t="n">
        <v>73</v>
      </c>
      <c r="H347" s="13" t="n">
        <v>38</v>
      </c>
      <c r="I347" s="13" t="n">
        <v>70</v>
      </c>
      <c r="J347" s="13" t="n">
        <v>25</v>
      </c>
      <c r="K347" s="13" t="n">
        <v>16</v>
      </c>
      <c r="L347" s="13" t="n">
        <v>99</v>
      </c>
      <c r="M347" s="13" t="n">
        <v>2.61</v>
      </c>
      <c r="N347" s="13" t="n">
        <v>80</v>
      </c>
      <c r="O347" s="13" t="n">
        <v>3</v>
      </c>
      <c r="P347" s="13" t="n">
        <v>5</v>
      </c>
      <c r="Q347" s="13" t="n">
        <v>4</v>
      </c>
      <c r="R347" s="13" t="n">
        <v>4</v>
      </c>
      <c r="S347" s="13" t="n">
        <v>3</v>
      </c>
    </row>
    <row r="348">
      <c r="A348" s="3" t="inlineStr">
        <is>
          <t>Ipswich Town</t>
        </is>
      </c>
      <c r="B348" s="13" t="n">
        <v>32</v>
      </c>
      <c r="C348" s="13" t="n">
        <v>38</v>
      </c>
      <c r="D348" s="13" t="n">
        <v>658</v>
      </c>
      <c r="E348" s="13" t="n">
        <v>17.32</v>
      </c>
      <c r="F348" s="13" t="n">
        <v>458</v>
      </c>
      <c r="G348" s="13" t="n">
        <v>72</v>
      </c>
      <c r="H348" s="13" t="n">
        <v>51</v>
      </c>
      <c r="I348" s="13" t="n">
        <v>30</v>
      </c>
      <c r="J348" s="13" t="n">
        <v>33</v>
      </c>
      <c r="K348" s="13" t="n">
        <v>14</v>
      </c>
      <c r="L348" s="13" t="n">
        <v>58</v>
      </c>
      <c r="M348" s="13" t="n">
        <v>1.53</v>
      </c>
      <c r="N348" s="13" t="n">
        <v>46</v>
      </c>
      <c r="O348" s="13" t="n">
        <v>2</v>
      </c>
      <c r="P348" s="13" t="n">
        <v>6</v>
      </c>
      <c r="Q348" s="13" t="n">
        <v>2</v>
      </c>
      <c r="R348" s="13" t="n">
        <v>2</v>
      </c>
      <c r="S348" s="13" t="n">
        <v>0</v>
      </c>
    </row>
    <row r="349" ht="15.75" customHeight="1" s="43">
      <c r="A349" s="3" t="inlineStr">
        <is>
          <t>Leicester City</t>
        </is>
      </c>
      <c r="B349" s="13" t="n">
        <v>32</v>
      </c>
      <c r="C349" s="13" t="n">
        <v>38</v>
      </c>
      <c r="D349" s="13" t="n">
        <v>585</v>
      </c>
      <c r="E349" s="13" t="n">
        <v>15.39</v>
      </c>
      <c r="F349" s="13" t="n">
        <v>427</v>
      </c>
      <c r="G349" s="13" t="n">
        <v>49</v>
      </c>
      <c r="H349" s="13" t="n">
        <v>44</v>
      </c>
      <c r="I349" s="13" t="n">
        <v>26</v>
      </c>
      <c r="J349" s="13" t="n">
        <v>34</v>
      </c>
      <c r="K349" s="13" t="n">
        <v>5</v>
      </c>
      <c r="L349" s="13" t="n">
        <v>56</v>
      </c>
      <c r="M349" s="13" t="n">
        <v>1.47</v>
      </c>
      <c r="N349" s="13" t="n">
        <v>37</v>
      </c>
      <c r="O349" s="13" t="n">
        <v>4</v>
      </c>
      <c r="P349" s="13" t="n">
        <v>6</v>
      </c>
      <c r="Q349" s="13" t="n">
        <v>5</v>
      </c>
      <c r="R349" s="13" t="n">
        <v>4</v>
      </c>
      <c r="S349" s="13" t="n">
        <v>0</v>
      </c>
    </row>
    <row r="350">
      <c r="A350" s="3" t="inlineStr">
        <is>
          <t>Liverpool</t>
        </is>
      </c>
      <c r="B350" s="13" t="n">
        <v>24</v>
      </c>
      <c r="C350" s="13" t="n">
        <v>38</v>
      </c>
      <c r="D350" s="13" t="n">
        <v>1151</v>
      </c>
      <c r="E350" s="13" t="n">
        <v>30.29</v>
      </c>
      <c r="F350" s="13" t="n">
        <v>881</v>
      </c>
      <c r="G350" s="13" t="n">
        <v>70</v>
      </c>
      <c r="H350" s="13" t="n">
        <v>82</v>
      </c>
      <c r="I350" s="13" t="n">
        <v>73</v>
      </c>
      <c r="J350" s="13" t="n">
        <v>27</v>
      </c>
      <c r="K350" s="13" t="n">
        <v>18</v>
      </c>
      <c r="L350" s="13" t="n">
        <v>147</v>
      </c>
      <c r="M350" s="13" t="n">
        <v>3.87</v>
      </c>
      <c r="N350" s="13" t="n">
        <v>111</v>
      </c>
      <c r="O350" s="13" t="n">
        <v>7</v>
      </c>
      <c r="P350" s="13" t="n">
        <v>12</v>
      </c>
      <c r="Q350" s="13" t="n">
        <v>10</v>
      </c>
      <c r="R350" s="13" t="n">
        <v>6</v>
      </c>
      <c r="S350" s="13" t="n">
        <v>1</v>
      </c>
    </row>
    <row r="351">
      <c r="A351" s="3" t="inlineStr">
        <is>
          <t>Manchester City</t>
        </is>
      </c>
      <c r="B351" s="13" t="n">
        <v>30</v>
      </c>
      <c r="C351" s="13" t="n">
        <v>38</v>
      </c>
      <c r="D351" s="13" t="n">
        <v>1096</v>
      </c>
      <c r="E351" s="13" t="n">
        <v>28.84</v>
      </c>
      <c r="F351" s="13" t="n">
        <v>852</v>
      </c>
      <c r="G351" s="13" t="n">
        <v>69</v>
      </c>
      <c r="H351" s="13" t="n">
        <v>68</v>
      </c>
      <c r="I351" s="13" t="n">
        <v>56</v>
      </c>
      <c r="J351" s="13" t="n">
        <v>41</v>
      </c>
      <c r="K351" s="13" t="n">
        <v>10</v>
      </c>
      <c r="L351" s="13" t="n">
        <v>125</v>
      </c>
      <c r="M351" s="13" t="n">
        <v>3.29</v>
      </c>
      <c r="N351" s="13" t="n">
        <v>95</v>
      </c>
      <c r="O351" s="13" t="n">
        <v>3</v>
      </c>
      <c r="P351" s="13" t="n">
        <v>11</v>
      </c>
      <c r="Q351" s="13" t="n">
        <v>10</v>
      </c>
      <c r="R351" s="13" t="n">
        <v>4</v>
      </c>
      <c r="S351" s="13" t="n">
        <v>2</v>
      </c>
    </row>
    <row r="352">
      <c r="A352" s="3" t="inlineStr">
        <is>
          <t>Manchester Utd</t>
        </is>
      </c>
      <c r="B352" s="13" t="n">
        <v>31</v>
      </c>
      <c r="C352" s="13" t="n">
        <v>38</v>
      </c>
      <c r="D352" s="13" t="n">
        <v>939</v>
      </c>
      <c r="E352" s="13" t="n">
        <v>24.71</v>
      </c>
      <c r="F352" s="13" t="n">
        <v>711</v>
      </c>
      <c r="G352" s="13" t="n">
        <v>78</v>
      </c>
      <c r="H352" s="13" t="n">
        <v>38</v>
      </c>
      <c r="I352" s="13" t="n">
        <v>61</v>
      </c>
      <c r="J352" s="13" t="n">
        <v>36</v>
      </c>
      <c r="K352" s="13" t="n">
        <v>15</v>
      </c>
      <c r="L352" s="13" t="n">
        <v>70</v>
      </c>
      <c r="M352" s="13" t="n">
        <v>1.84</v>
      </c>
      <c r="N352" s="13" t="n">
        <v>45</v>
      </c>
      <c r="O352" s="13" t="n">
        <v>4</v>
      </c>
      <c r="P352" s="13" t="n">
        <v>5</v>
      </c>
      <c r="Q352" s="13" t="n">
        <v>6</v>
      </c>
      <c r="R352" s="13" t="n">
        <v>6</v>
      </c>
      <c r="S352" s="13" t="n">
        <v>4</v>
      </c>
    </row>
    <row r="353" ht="18" customHeight="1" s="43">
      <c r="A353" s="3" t="inlineStr">
        <is>
          <t>Newcastle Utd</t>
        </is>
      </c>
      <c r="B353" s="13" t="n">
        <v>24</v>
      </c>
      <c r="C353" s="13" t="n">
        <v>38</v>
      </c>
      <c r="D353" s="13" t="n">
        <v>938</v>
      </c>
      <c r="E353" s="13" t="n">
        <v>24.68</v>
      </c>
      <c r="F353" s="13" t="n">
        <v>711</v>
      </c>
      <c r="G353" s="13" t="n">
        <v>73</v>
      </c>
      <c r="H353" s="13" t="n">
        <v>39</v>
      </c>
      <c r="I353" s="13" t="n">
        <v>53</v>
      </c>
      <c r="J353" s="13" t="n">
        <v>37</v>
      </c>
      <c r="K353" s="13" t="n">
        <v>25</v>
      </c>
      <c r="L353" s="13" t="n">
        <v>115</v>
      </c>
      <c r="M353" s="13" t="n">
        <v>3.03</v>
      </c>
      <c r="N353" s="13" t="n">
        <v>94</v>
      </c>
      <c r="O353" s="13" t="n">
        <v>7</v>
      </c>
      <c r="P353" s="13" t="n">
        <v>3</v>
      </c>
      <c r="Q353" s="13" t="n">
        <v>5</v>
      </c>
      <c r="R353" s="13" t="n">
        <v>4</v>
      </c>
      <c r="S353" s="13" t="n">
        <v>2</v>
      </c>
    </row>
    <row r="354" ht="17.1" customHeight="1" s="43">
      <c r="A354" s="3" t="inlineStr">
        <is>
          <t>Nott'ham Forest</t>
        </is>
      </c>
      <c r="B354" s="13" t="n">
        <v>23</v>
      </c>
      <c r="C354" s="13" t="n">
        <v>38</v>
      </c>
      <c r="D354" s="13" t="n">
        <v>798</v>
      </c>
      <c r="E354" s="13" t="n">
        <v>21</v>
      </c>
      <c r="F354" s="13" t="n">
        <v>569</v>
      </c>
      <c r="G354" s="13" t="n">
        <v>74</v>
      </c>
      <c r="H354" s="13" t="n">
        <v>35</v>
      </c>
      <c r="I354" s="13" t="n">
        <v>60</v>
      </c>
      <c r="J354" s="13" t="n">
        <v>40</v>
      </c>
      <c r="K354" s="13" t="n">
        <v>20</v>
      </c>
      <c r="L354" s="13" t="n">
        <v>91</v>
      </c>
      <c r="M354" s="13" t="n">
        <v>2.39</v>
      </c>
      <c r="N354" s="13" t="n">
        <v>58</v>
      </c>
      <c r="O354" s="13" t="n">
        <v>10</v>
      </c>
      <c r="P354" s="13" t="n">
        <v>3</v>
      </c>
      <c r="Q354" s="13" t="n">
        <v>8</v>
      </c>
      <c r="R354" s="13" t="n">
        <v>8</v>
      </c>
      <c r="S354" s="13" t="n">
        <v>4</v>
      </c>
    </row>
    <row r="355">
      <c r="A355" s="3" t="inlineStr">
        <is>
          <t>Southampton</t>
        </is>
      </c>
      <c r="B355" s="13" t="n">
        <v>36</v>
      </c>
      <c r="C355" s="13" t="n">
        <v>38</v>
      </c>
      <c r="D355" s="13" t="n">
        <v>616</v>
      </c>
      <c r="E355" s="13" t="n">
        <v>16.21</v>
      </c>
      <c r="F355" s="13" t="n">
        <v>427</v>
      </c>
      <c r="G355" s="13" t="n">
        <v>56</v>
      </c>
      <c r="H355" s="13" t="n">
        <v>51</v>
      </c>
      <c r="I355" s="13" t="n">
        <v>46</v>
      </c>
      <c r="J355" s="13" t="n">
        <v>28</v>
      </c>
      <c r="K355" s="13" t="n">
        <v>8</v>
      </c>
      <c r="L355" s="13" t="n">
        <v>42</v>
      </c>
      <c r="M355" s="13" t="n">
        <v>1.11</v>
      </c>
      <c r="N355" s="13" t="n">
        <v>23</v>
      </c>
      <c r="O355" s="13" t="n">
        <v>5</v>
      </c>
      <c r="P355" s="13" t="n">
        <v>3</v>
      </c>
      <c r="Q355" s="13" t="n">
        <v>9</v>
      </c>
      <c r="R355" s="13" t="n">
        <v>1</v>
      </c>
      <c r="S355" s="13" t="n">
        <v>1</v>
      </c>
    </row>
    <row r="356">
      <c r="A356" s="3" t="inlineStr">
        <is>
          <t>Tottenham</t>
        </is>
      </c>
      <c r="B356" s="13" t="n">
        <v>31</v>
      </c>
      <c r="C356" s="13" t="n">
        <v>38</v>
      </c>
      <c r="D356" s="13" t="n">
        <v>875</v>
      </c>
      <c r="E356" s="13" t="n">
        <v>23.03</v>
      </c>
      <c r="F356" s="13" t="n">
        <v>648</v>
      </c>
      <c r="G356" s="13" t="n">
        <v>67</v>
      </c>
      <c r="H356" s="13" t="n">
        <v>53</v>
      </c>
      <c r="I356" s="13" t="n">
        <v>59</v>
      </c>
      <c r="J356" s="13" t="n">
        <v>36</v>
      </c>
      <c r="K356" s="13" t="n">
        <v>12</v>
      </c>
      <c r="L356" s="13" t="n">
        <v>106</v>
      </c>
      <c r="M356" s="13" t="n">
        <v>2.79</v>
      </c>
      <c r="N356" s="13" t="n">
        <v>79</v>
      </c>
      <c r="O356" s="13" t="n">
        <v>7</v>
      </c>
      <c r="P356" s="13" t="n">
        <v>8</v>
      </c>
      <c r="Q356" s="13" t="n">
        <v>7</v>
      </c>
      <c r="R356" s="13" t="n">
        <v>4</v>
      </c>
      <c r="S356" s="13" t="n">
        <v>1</v>
      </c>
    </row>
    <row r="357" ht="15.75" customHeight="1" s="43">
      <c r="A357" s="3" t="inlineStr">
        <is>
          <t>West Ham</t>
        </is>
      </c>
      <c r="B357" s="13" t="n">
        <v>27</v>
      </c>
      <c r="C357" s="13" t="n">
        <v>38</v>
      </c>
      <c r="D357" s="13" t="n">
        <v>815</v>
      </c>
      <c r="E357" s="13" t="n">
        <v>21.45</v>
      </c>
      <c r="F357" s="13" t="n">
        <v>582</v>
      </c>
      <c r="G357" s="13" t="n">
        <v>69</v>
      </c>
      <c r="H357" s="13" t="n">
        <v>48</v>
      </c>
      <c r="I357" s="13" t="n">
        <v>65</v>
      </c>
      <c r="J357" s="13" t="n">
        <v>34</v>
      </c>
      <c r="K357" s="13" t="n">
        <v>17</v>
      </c>
      <c r="L357" s="13" t="n">
        <v>67</v>
      </c>
      <c r="M357" s="13" t="n">
        <v>1.76</v>
      </c>
      <c r="N357" s="13" t="n">
        <v>42</v>
      </c>
      <c r="O357" s="13" t="n">
        <v>5</v>
      </c>
      <c r="P357" s="13" t="n">
        <v>3</v>
      </c>
      <c r="Q357" s="13" t="n">
        <v>13</v>
      </c>
      <c r="R357" s="13" t="n">
        <v>3</v>
      </c>
      <c r="S357" s="13" t="n">
        <v>1</v>
      </c>
    </row>
    <row r="358">
      <c r="A358" s="3" t="inlineStr">
        <is>
          <t>Wolves</t>
        </is>
      </c>
      <c r="B358" s="13" t="n">
        <v>32</v>
      </c>
      <c r="C358" s="13" t="n">
        <v>38</v>
      </c>
      <c r="D358" s="13" t="n">
        <v>756</v>
      </c>
      <c r="E358" s="13" t="n">
        <v>19.89</v>
      </c>
      <c r="F358" s="13" t="n">
        <v>547</v>
      </c>
      <c r="G358" s="13" t="n">
        <v>57</v>
      </c>
      <c r="H358" s="13" t="n">
        <v>58</v>
      </c>
      <c r="I358" s="13" t="n">
        <v>36</v>
      </c>
      <c r="J358" s="13" t="n">
        <v>34</v>
      </c>
      <c r="K358" s="13" t="n">
        <v>24</v>
      </c>
      <c r="L358" s="13" t="n">
        <v>96</v>
      </c>
      <c r="M358" s="13" t="n">
        <v>2.53</v>
      </c>
      <c r="N358" s="13" t="n">
        <v>77</v>
      </c>
      <c r="O358" s="13" t="n">
        <v>5</v>
      </c>
      <c r="P358" s="13" t="n">
        <v>7</v>
      </c>
      <c r="Q358" s="13" t="n">
        <v>1</v>
      </c>
      <c r="R358" s="13" t="n">
        <v>2</v>
      </c>
      <c r="S358" s="13" t="n">
        <v>4</v>
      </c>
    </row>
    <row r="359" ht="18" customHeight="1" s="43"/>
    <row r="360" ht="17.1" customHeight="1" s="43">
      <c r="A360" s="45" t="inlineStr">
        <is>
          <t>Squad Goal and Shot Creation 2024-2025 Premier League Table</t>
        </is>
      </c>
    </row>
    <row r="361" ht="17.1" customHeight="1" s="43">
      <c r="A361" s="44" t="n"/>
      <c r="D361" s="44" t="inlineStr">
        <is>
          <t>SCA</t>
        </is>
      </c>
      <c r="F361" s="44" t="inlineStr">
        <is>
          <t>SCA Types</t>
        </is>
      </c>
      <c r="L361" s="44" t="inlineStr">
        <is>
          <t>GCA</t>
        </is>
      </c>
      <c r="N361" s="44" t="inlineStr">
        <is>
          <t>GCA Types</t>
        </is>
      </c>
    </row>
    <row r="362">
      <c r="A362" s="44" t="inlineStr">
        <is>
          <t>Squad</t>
        </is>
      </c>
      <c r="B362" s="44" t="inlineStr">
        <is>
          <t># Pl</t>
        </is>
      </c>
      <c r="C362" s="44" t="inlineStr">
        <is>
          <t>90s</t>
        </is>
      </c>
      <c r="D362" s="44" t="inlineStr">
        <is>
          <t>SCA</t>
        </is>
      </c>
      <c r="E362" s="44" t="inlineStr">
        <is>
          <t>SCA90</t>
        </is>
      </c>
      <c r="F362" s="44" t="inlineStr">
        <is>
          <t>PassLive</t>
        </is>
      </c>
      <c r="G362" s="44" t="inlineStr">
        <is>
          <t>PassDead</t>
        </is>
      </c>
      <c r="H362" s="44" t="inlineStr">
        <is>
          <t>TO</t>
        </is>
      </c>
      <c r="I362" s="44" t="inlineStr">
        <is>
          <t>Sh</t>
        </is>
      </c>
      <c r="J362" s="44" t="inlineStr">
        <is>
          <t>Fld</t>
        </is>
      </c>
      <c r="K362" s="44" t="inlineStr">
        <is>
          <t>Def</t>
        </is>
      </c>
      <c r="L362" s="44" t="inlineStr">
        <is>
          <t>GCA</t>
        </is>
      </c>
      <c r="M362" s="44" t="inlineStr">
        <is>
          <t>GCA90</t>
        </is>
      </c>
      <c r="N362" s="44" t="inlineStr">
        <is>
          <t>PassLive</t>
        </is>
      </c>
      <c r="O362" s="44" t="inlineStr">
        <is>
          <t>PassDead</t>
        </is>
      </c>
      <c r="P362" s="44" t="inlineStr">
        <is>
          <t>TO</t>
        </is>
      </c>
      <c r="Q362" s="44" t="inlineStr">
        <is>
          <t>Sh</t>
        </is>
      </c>
      <c r="R362" s="44" t="inlineStr">
        <is>
          <t>Fld</t>
        </is>
      </c>
      <c r="S362" s="44" t="inlineStr">
        <is>
          <t>Def</t>
        </is>
      </c>
    </row>
    <row r="363">
      <c r="A363" s="3" t="inlineStr">
        <is>
          <t>vs Arsenal</t>
        </is>
      </c>
      <c r="B363" s="13" t="n">
        <v>25</v>
      </c>
      <c r="C363" s="13" t="n">
        <v>38</v>
      </c>
      <c r="D363" s="13" t="n">
        <v>646</v>
      </c>
      <c r="E363" s="13" t="n">
        <v>17</v>
      </c>
      <c r="F363" s="13" t="n">
        <v>480</v>
      </c>
      <c r="G363" s="13" t="n">
        <v>47</v>
      </c>
      <c r="H363" s="13" t="n">
        <v>32</v>
      </c>
      <c r="I363" s="13" t="n">
        <v>40</v>
      </c>
      <c r="J363" s="13" t="n">
        <v>31</v>
      </c>
      <c r="K363" s="13" t="n">
        <v>16</v>
      </c>
      <c r="L363" s="13" t="n">
        <v>61</v>
      </c>
      <c r="M363" s="13" t="n">
        <v>1.61</v>
      </c>
      <c r="N363" s="13" t="n">
        <v>37</v>
      </c>
      <c r="O363" s="13" t="n">
        <v>8</v>
      </c>
      <c r="P363" s="13" t="n">
        <v>2</v>
      </c>
      <c r="Q363" s="13" t="n">
        <v>5</v>
      </c>
      <c r="R363" s="13" t="n">
        <v>7</v>
      </c>
      <c r="S363" s="13" t="n">
        <v>2</v>
      </c>
    </row>
    <row r="364">
      <c r="A364" s="3" t="inlineStr">
        <is>
          <t>vs Aston Villa</t>
        </is>
      </c>
      <c r="B364" s="13" t="n">
        <v>28</v>
      </c>
      <c r="C364" s="13" t="n">
        <v>38</v>
      </c>
      <c r="D364" s="13" t="n">
        <v>818</v>
      </c>
      <c r="E364" s="13" t="n">
        <v>21.53</v>
      </c>
      <c r="F364" s="13" t="n">
        <v>637</v>
      </c>
      <c r="G364" s="13" t="n">
        <v>52</v>
      </c>
      <c r="H364" s="13" t="n">
        <v>38</v>
      </c>
      <c r="I364" s="13" t="n">
        <v>46</v>
      </c>
      <c r="J364" s="13" t="n">
        <v>29</v>
      </c>
      <c r="K364" s="13" t="n">
        <v>16</v>
      </c>
      <c r="L364" s="13" t="n">
        <v>86</v>
      </c>
      <c r="M364" s="13" t="n">
        <v>2.26</v>
      </c>
      <c r="N364" s="13" t="n">
        <v>66</v>
      </c>
      <c r="O364" s="13" t="n">
        <v>3</v>
      </c>
      <c r="P364" s="13" t="n">
        <v>5</v>
      </c>
      <c r="Q364" s="13" t="n">
        <v>4</v>
      </c>
      <c r="R364" s="13" t="n">
        <v>5</v>
      </c>
      <c r="S364" s="13" t="n">
        <v>3</v>
      </c>
    </row>
    <row r="365">
      <c r="A365" s="3" t="inlineStr">
        <is>
          <t>vs Bournemouth</t>
        </is>
      </c>
      <c r="B365" s="13" t="n">
        <v>29</v>
      </c>
      <c r="C365" s="13" t="n">
        <v>38</v>
      </c>
      <c r="D365" s="13" t="n">
        <v>878</v>
      </c>
      <c r="E365" s="13" t="n">
        <v>23.11</v>
      </c>
      <c r="F365" s="13" t="n">
        <v>647</v>
      </c>
      <c r="G365" s="13" t="n">
        <v>78</v>
      </c>
      <c r="H365" s="13" t="n">
        <v>54</v>
      </c>
      <c r="I365" s="13" t="n">
        <v>46</v>
      </c>
      <c r="J365" s="13" t="n">
        <v>39</v>
      </c>
      <c r="K365" s="13" t="n">
        <v>14</v>
      </c>
      <c r="L365" s="13" t="n">
        <v>84</v>
      </c>
      <c r="M365" s="13" t="n">
        <v>2.21</v>
      </c>
      <c r="N365" s="13" t="n">
        <v>59</v>
      </c>
      <c r="O365" s="13" t="n">
        <v>5</v>
      </c>
      <c r="P365" s="13" t="n">
        <v>10</v>
      </c>
      <c r="Q365" s="13" t="n">
        <v>4</v>
      </c>
      <c r="R365" s="13" t="n">
        <v>5</v>
      </c>
      <c r="S365" s="13" t="n">
        <v>1</v>
      </c>
    </row>
    <row r="366">
      <c r="A366" s="3" t="inlineStr">
        <is>
          <t>vs Brentford</t>
        </is>
      </c>
      <c r="B366" s="13" t="n">
        <v>28</v>
      </c>
      <c r="C366" s="13" t="n">
        <v>38</v>
      </c>
      <c r="D366" s="13" t="n">
        <v>1152</v>
      </c>
      <c r="E366" s="13" t="n">
        <v>30.32</v>
      </c>
      <c r="F366" s="13" t="n">
        <v>913</v>
      </c>
      <c r="G366" s="13" t="n">
        <v>67</v>
      </c>
      <c r="H366" s="13" t="n">
        <v>57</v>
      </c>
      <c r="I366" s="13" t="n">
        <v>69</v>
      </c>
      <c r="J366" s="13" t="n">
        <v>30</v>
      </c>
      <c r="K366" s="13" t="n">
        <v>16</v>
      </c>
      <c r="L366" s="13" t="n">
        <v>96</v>
      </c>
      <c r="M366" s="13" t="n">
        <v>2.53</v>
      </c>
      <c r="N366" s="13" t="n">
        <v>85</v>
      </c>
      <c r="O366" s="13" t="n">
        <v>1</v>
      </c>
      <c r="P366" s="13" t="n">
        <v>3</v>
      </c>
      <c r="Q366" s="13" t="n">
        <v>5</v>
      </c>
      <c r="R366" s="13" t="n">
        <v>1</v>
      </c>
      <c r="S366" s="13" t="n">
        <v>1</v>
      </c>
    </row>
    <row r="367">
      <c r="A367" s="3" t="inlineStr">
        <is>
          <t>vs Brighton</t>
        </is>
      </c>
      <c r="B367" s="13" t="n">
        <v>32</v>
      </c>
      <c r="C367" s="13" t="n">
        <v>38</v>
      </c>
      <c r="D367" s="13" t="n">
        <v>746</v>
      </c>
      <c r="E367" s="13" t="n">
        <v>19.63</v>
      </c>
      <c r="F367" s="13" t="n">
        <v>539</v>
      </c>
      <c r="G367" s="13" t="n">
        <v>69</v>
      </c>
      <c r="H367" s="13" t="n">
        <v>49</v>
      </c>
      <c r="I367" s="13" t="n">
        <v>44</v>
      </c>
      <c r="J367" s="13" t="n">
        <v>35</v>
      </c>
      <c r="K367" s="13" t="n">
        <v>10</v>
      </c>
      <c r="L367" s="13" t="n">
        <v>97</v>
      </c>
      <c r="M367" s="13" t="n">
        <v>2.55</v>
      </c>
      <c r="N367" s="13" t="n">
        <v>64</v>
      </c>
      <c r="O367" s="13" t="n">
        <v>6</v>
      </c>
      <c r="P367" s="13" t="n">
        <v>7</v>
      </c>
      <c r="Q367" s="13" t="n">
        <v>9</v>
      </c>
      <c r="R367" s="13" t="n">
        <v>10</v>
      </c>
      <c r="S367" s="13" t="n">
        <v>1</v>
      </c>
    </row>
    <row r="368">
      <c r="A368" s="3" t="inlineStr">
        <is>
          <t>vs Chelsea</t>
        </is>
      </c>
      <c r="B368" s="13" t="n">
        <v>29</v>
      </c>
      <c r="C368" s="13" t="n">
        <v>38</v>
      </c>
      <c r="D368" s="13" t="n">
        <v>698</v>
      </c>
      <c r="E368" s="13" t="n">
        <v>18.37</v>
      </c>
      <c r="F368" s="13" t="n">
        <v>514</v>
      </c>
      <c r="G368" s="13" t="n">
        <v>55</v>
      </c>
      <c r="H368" s="13" t="n">
        <v>40</v>
      </c>
      <c r="I368" s="13" t="n">
        <v>33</v>
      </c>
      <c r="J368" s="13" t="n">
        <v>40</v>
      </c>
      <c r="K368" s="13" t="n">
        <v>16</v>
      </c>
      <c r="L368" s="13" t="n">
        <v>73</v>
      </c>
      <c r="M368" s="13" t="n">
        <v>1.92</v>
      </c>
      <c r="N368" s="13" t="n">
        <v>48</v>
      </c>
      <c r="O368" s="13" t="n">
        <v>5</v>
      </c>
      <c r="P368" s="13" t="n">
        <v>9</v>
      </c>
      <c r="Q368" s="13" t="n">
        <v>4</v>
      </c>
      <c r="R368" s="13" t="n">
        <v>5</v>
      </c>
      <c r="S368" s="13" t="n">
        <v>2</v>
      </c>
    </row>
    <row r="369" ht="17.1" customHeight="1" s="43">
      <c r="A369" s="3" t="inlineStr">
        <is>
          <t>vs Crystal Palace</t>
        </is>
      </c>
      <c r="B369" s="13" t="n">
        <v>29</v>
      </c>
      <c r="C369" s="13" t="n">
        <v>38</v>
      </c>
      <c r="D369" s="13" t="n">
        <v>850</v>
      </c>
      <c r="E369" s="13" t="n">
        <v>22.37</v>
      </c>
      <c r="F369" s="13" t="n">
        <v>610</v>
      </c>
      <c r="G369" s="13" t="n">
        <v>77</v>
      </c>
      <c r="H369" s="13" t="n">
        <v>45</v>
      </c>
      <c r="I369" s="13" t="n">
        <v>78</v>
      </c>
      <c r="J369" s="13" t="n">
        <v>24</v>
      </c>
      <c r="K369" s="13" t="n">
        <v>16</v>
      </c>
      <c r="L369" s="13" t="n">
        <v>84</v>
      </c>
      <c r="M369" s="13" t="n">
        <v>2.21</v>
      </c>
      <c r="N369" s="13" t="n">
        <v>55</v>
      </c>
      <c r="O369" s="13" t="n">
        <v>6</v>
      </c>
      <c r="P369" s="13" t="n">
        <v>5</v>
      </c>
      <c r="Q369" s="13" t="n">
        <v>10</v>
      </c>
      <c r="R369" s="13" t="n">
        <v>4</v>
      </c>
      <c r="S369" s="13" t="n">
        <v>4</v>
      </c>
    </row>
    <row r="370">
      <c r="A370" s="3" t="inlineStr">
        <is>
          <t>vs Everton</t>
        </is>
      </c>
      <c r="B370" s="13" t="n">
        <v>26</v>
      </c>
      <c r="C370" s="13" t="n">
        <v>38</v>
      </c>
      <c r="D370" s="13" t="n">
        <v>846</v>
      </c>
      <c r="E370" s="13" t="n">
        <v>22.26</v>
      </c>
      <c r="F370" s="13" t="n">
        <v>624</v>
      </c>
      <c r="G370" s="13" t="n">
        <v>74</v>
      </c>
      <c r="H370" s="13" t="n">
        <v>45</v>
      </c>
      <c r="I370" s="13" t="n">
        <v>60</v>
      </c>
      <c r="J370" s="13" t="n">
        <v>29</v>
      </c>
      <c r="K370" s="13" t="n">
        <v>14</v>
      </c>
      <c r="L370" s="13" t="n">
        <v>74</v>
      </c>
      <c r="M370" s="13" t="n">
        <v>1.95</v>
      </c>
      <c r="N370" s="13" t="n">
        <v>58</v>
      </c>
      <c r="O370" s="13" t="n">
        <v>2</v>
      </c>
      <c r="P370" s="13" t="n">
        <v>5</v>
      </c>
      <c r="Q370" s="13" t="n">
        <v>5</v>
      </c>
      <c r="R370" s="13" t="n">
        <v>1</v>
      </c>
      <c r="S370" s="13" t="n">
        <v>3</v>
      </c>
      <c r="AW370" t="inlineStr">
        <is>
          <t>Corners Per Game</t>
        </is>
      </c>
      <c r="AY370" t="inlineStr">
        <is>
          <t>Corners Per Game</t>
        </is>
      </c>
    </row>
    <row r="371">
      <c r="A371" s="3" t="inlineStr">
        <is>
          <t>vs Fulham</t>
        </is>
      </c>
      <c r="B371" s="13" t="n">
        <v>26</v>
      </c>
      <c r="C371" s="13" t="n">
        <v>38</v>
      </c>
      <c r="D371" s="13" t="n">
        <v>756</v>
      </c>
      <c r="E371" s="13" t="n">
        <v>19.89</v>
      </c>
      <c r="F371" s="13" t="n">
        <v>519</v>
      </c>
      <c r="G371" s="13" t="n">
        <v>76</v>
      </c>
      <c r="H371" s="13" t="n">
        <v>55</v>
      </c>
      <c r="I371" s="13" t="n">
        <v>41</v>
      </c>
      <c r="J371" s="13" t="n">
        <v>56</v>
      </c>
      <c r="K371" s="13" t="n">
        <v>9</v>
      </c>
      <c r="L371" s="13" t="n">
        <v>90</v>
      </c>
      <c r="M371" s="13" t="n">
        <v>2.37</v>
      </c>
      <c r="N371" s="13" t="n">
        <v>64</v>
      </c>
      <c r="O371" s="13" t="n">
        <v>7</v>
      </c>
      <c r="P371" s="13" t="n">
        <v>5</v>
      </c>
      <c r="Q371" s="13" t="n">
        <v>7</v>
      </c>
      <c r="R371" s="13" t="n">
        <v>5</v>
      </c>
      <c r="S371" s="13" t="n">
        <v>2</v>
      </c>
      <c r="AV371">
        <f>VLOOKUP(A371,Helpers!$B$4:$C$34,2,0)</f>
        <v/>
      </c>
      <c r="AW371">
        <f>IF(IF(COUNTIF($BA$371:$BA$390,BA371)&gt;1,TRUE,FALSE),"T"&amp;BA371,BA371)</f>
        <v/>
      </c>
      <c r="AY371" s="27">
        <f>SUM(M371:O371)/_xlfn.XLOOKUP(AV371,$AN$5:$AN$100,$AM$5:$AM$100,,0)</f>
        <v/>
      </c>
      <c r="BA371">
        <f>RANK(AY371,AY$371:AY$390)</f>
        <v/>
      </c>
    </row>
    <row r="372">
      <c r="A372" s="3" t="inlineStr">
        <is>
          <t>vs Ipswich Town</t>
        </is>
      </c>
      <c r="B372" s="13" t="n">
        <v>32</v>
      </c>
      <c r="C372" s="13" t="n">
        <v>38</v>
      </c>
      <c r="D372" s="13" t="n">
        <v>1080</v>
      </c>
      <c r="E372" s="13" t="n">
        <v>28.42</v>
      </c>
      <c r="F372" s="13" t="n">
        <v>837</v>
      </c>
      <c r="G372" s="13" t="n">
        <v>67</v>
      </c>
      <c r="H372" s="13" t="n">
        <v>63</v>
      </c>
      <c r="I372" s="13" t="n">
        <v>65</v>
      </c>
      <c r="J372" s="13" t="n">
        <v>33</v>
      </c>
      <c r="K372" s="13" t="n">
        <v>15</v>
      </c>
      <c r="L372" s="13" t="n">
        <v>142</v>
      </c>
      <c r="M372" s="13" t="n">
        <v>3.74</v>
      </c>
      <c r="N372" s="13" t="n">
        <v>108</v>
      </c>
      <c r="O372" s="13" t="n">
        <v>7</v>
      </c>
      <c r="P372" s="13" t="n">
        <v>7</v>
      </c>
      <c r="Q372" s="13" t="n">
        <v>12</v>
      </c>
      <c r="R372" s="13" t="n">
        <v>7</v>
      </c>
      <c r="S372" s="13" t="n">
        <v>1</v>
      </c>
      <c r="AV372">
        <f>VLOOKUP(A372,Helpers!$B$4:$C$34,2,0)</f>
        <v/>
      </c>
      <c r="AW372">
        <f>IF(IF(COUNTIF($BA$371:$BA$390,BA372)&gt;1,TRUE,FALSE),"T"&amp;BA372,BA372)</f>
        <v/>
      </c>
      <c r="AY372" s="27">
        <f>SUM(M372:O372)/_xlfn.XLOOKUP(AV372,$AN$5:$AN$100,$AM$5:$AM$100,,0)</f>
        <v/>
      </c>
      <c r="BA372">
        <f>RANK(AY372,AY$371:AY$390)</f>
        <v/>
      </c>
    </row>
    <row r="373">
      <c r="A373" s="3" t="inlineStr">
        <is>
          <t>vs Leicester City</t>
        </is>
      </c>
      <c r="B373" s="13" t="n">
        <v>32</v>
      </c>
      <c r="C373" s="13" t="n">
        <v>38</v>
      </c>
      <c r="D373" s="13" t="n">
        <v>1136</v>
      </c>
      <c r="E373" s="13" t="n">
        <v>29.89</v>
      </c>
      <c r="F373" s="13" t="n">
        <v>827</v>
      </c>
      <c r="G373" s="13" t="n">
        <v>88</v>
      </c>
      <c r="H373" s="13" t="n">
        <v>68</v>
      </c>
      <c r="I373" s="13" t="n">
        <v>79</v>
      </c>
      <c r="J373" s="13" t="n">
        <v>49</v>
      </c>
      <c r="K373" s="13" t="n">
        <v>25</v>
      </c>
      <c r="L373" s="13" t="n">
        <v>134</v>
      </c>
      <c r="M373" s="13" t="n">
        <v>3.53</v>
      </c>
      <c r="N373" s="13" t="n">
        <v>105</v>
      </c>
      <c r="O373" s="13" t="n">
        <v>7</v>
      </c>
      <c r="P373" s="13" t="n">
        <v>5</v>
      </c>
      <c r="Q373" s="13" t="n">
        <v>12</v>
      </c>
      <c r="R373" s="13" t="n">
        <v>5</v>
      </c>
      <c r="S373" s="13" t="n">
        <v>0</v>
      </c>
      <c r="AV373">
        <f>VLOOKUP(A373,Helpers!$B$4:$C$34,2,0)</f>
        <v/>
      </c>
      <c r="AW373">
        <f>IF(IF(COUNTIF($BA$371:$BA$390,BA373)&gt;1,TRUE,FALSE),"T"&amp;BA373,BA373)</f>
        <v/>
      </c>
      <c r="AY373" s="27">
        <f>SUM(M373:O373)/_xlfn.XLOOKUP(AV373,$AN$5:$AN$100,$AM$5:$AM$100,,0)</f>
        <v/>
      </c>
      <c r="BA373">
        <f>RANK(AY373,AY$371:AY$390)</f>
        <v/>
      </c>
    </row>
    <row r="374">
      <c r="A374" s="3" t="inlineStr">
        <is>
          <t>vs Liverpool</t>
        </is>
      </c>
      <c r="B374" s="13" t="n">
        <v>24</v>
      </c>
      <c r="C374" s="13" t="n">
        <v>38</v>
      </c>
      <c r="D374" s="13" t="n">
        <v>659</v>
      </c>
      <c r="E374" s="13" t="n">
        <v>17.34</v>
      </c>
      <c r="F374" s="13" t="n">
        <v>491</v>
      </c>
      <c r="G374" s="13" t="n">
        <v>44</v>
      </c>
      <c r="H374" s="13" t="n">
        <v>40</v>
      </c>
      <c r="I374" s="13" t="n">
        <v>38</v>
      </c>
      <c r="J374" s="13" t="n">
        <v>39</v>
      </c>
      <c r="K374" s="13" t="n">
        <v>7</v>
      </c>
      <c r="L374" s="13" t="n">
        <v>66</v>
      </c>
      <c r="M374" s="13" t="n">
        <v>1.74</v>
      </c>
      <c r="N374" s="13" t="n">
        <v>45</v>
      </c>
      <c r="O374" s="13" t="n">
        <v>7</v>
      </c>
      <c r="P374" s="13" t="n">
        <v>4</v>
      </c>
      <c r="Q374" s="13" t="n">
        <v>5</v>
      </c>
      <c r="R374" s="13" t="n">
        <v>4</v>
      </c>
      <c r="S374" s="13" t="n">
        <v>1</v>
      </c>
      <c r="AV374">
        <f>VLOOKUP(A374,Helpers!$B$4:$C$34,2,0)</f>
        <v/>
      </c>
      <c r="AW374">
        <f>IF(IF(COUNTIF($BA$371:$BA$390,BA374)&gt;1,TRUE,FALSE),"T"&amp;BA374,BA374)</f>
        <v/>
      </c>
      <c r="AY374" s="27">
        <f>SUM(M374:O374)/_xlfn.XLOOKUP(AV374,$AN$5:$AN$100,$AM$5:$AM$100,,0)</f>
        <v/>
      </c>
      <c r="BA374">
        <f>RANK(AY374,AY$371:AY$390)</f>
        <v/>
      </c>
    </row>
    <row r="375" ht="18" customHeight="1" s="43">
      <c r="A375" s="3" t="inlineStr">
        <is>
          <t>vs Manchester City</t>
        </is>
      </c>
      <c r="B375" s="13" t="n">
        <v>30</v>
      </c>
      <c r="C375" s="13" t="n">
        <v>38</v>
      </c>
      <c r="D375" s="13" t="n">
        <v>626</v>
      </c>
      <c r="E375" s="13" t="n">
        <v>16.47</v>
      </c>
      <c r="F375" s="13" t="n">
        <v>483</v>
      </c>
      <c r="G375" s="13" t="n">
        <v>51</v>
      </c>
      <c r="H375" s="13" t="n">
        <v>29</v>
      </c>
      <c r="I375" s="13" t="n">
        <v>32</v>
      </c>
      <c r="J375" s="13" t="n">
        <v>19</v>
      </c>
      <c r="K375" s="13" t="n">
        <v>12</v>
      </c>
      <c r="L375" s="13" t="n">
        <v>76</v>
      </c>
      <c r="M375" s="13" t="n">
        <v>2</v>
      </c>
      <c r="N375" s="13" t="n">
        <v>59</v>
      </c>
      <c r="O375" s="13" t="n">
        <v>5</v>
      </c>
      <c r="P375" s="13" t="n">
        <v>5</v>
      </c>
      <c r="Q375" s="13" t="n">
        <v>1</v>
      </c>
      <c r="R375" s="13" t="n">
        <v>5</v>
      </c>
      <c r="S375" s="13" t="n">
        <v>1</v>
      </c>
      <c r="AV375">
        <f>VLOOKUP(A375,Helpers!$B$4:$C$34,2,0)</f>
        <v/>
      </c>
      <c r="AW375">
        <f>IF(IF(COUNTIF($BA$371:$BA$390,BA375)&gt;1,TRUE,FALSE),"T"&amp;BA375,BA375)</f>
        <v/>
      </c>
      <c r="AY375" s="27">
        <f>SUM(M375:O375)/_xlfn.XLOOKUP(AV375,$AN$5:$AN$100,$AM$5:$AM$100,,0)</f>
        <v/>
      </c>
      <c r="BA375">
        <f>RANK(AY375,AY$371:AY$390)</f>
        <v/>
      </c>
    </row>
    <row r="376" ht="17.1" customHeight="1" s="43">
      <c r="A376" s="3" t="inlineStr">
        <is>
          <t>vs Manchester Utd</t>
        </is>
      </c>
      <c r="B376" s="13" t="n">
        <v>31</v>
      </c>
      <c r="C376" s="13" t="n">
        <v>38</v>
      </c>
      <c r="D376" s="13" t="n">
        <v>714</v>
      </c>
      <c r="E376" s="13" t="n">
        <v>18.79</v>
      </c>
      <c r="F376" s="13" t="n">
        <v>498</v>
      </c>
      <c r="G376" s="13" t="n">
        <v>64</v>
      </c>
      <c r="H376" s="13" t="n">
        <v>50</v>
      </c>
      <c r="I376" s="13" t="n">
        <v>54</v>
      </c>
      <c r="J376" s="13" t="n">
        <v>38</v>
      </c>
      <c r="K376" s="13" t="n">
        <v>10</v>
      </c>
      <c r="L376" s="13" t="n">
        <v>86</v>
      </c>
      <c r="M376" s="13" t="n">
        <v>2.26</v>
      </c>
      <c r="N376" s="13" t="n">
        <v>61</v>
      </c>
      <c r="O376" s="13" t="n">
        <v>6</v>
      </c>
      <c r="P376" s="13" t="n">
        <v>5</v>
      </c>
      <c r="Q376" s="13" t="n">
        <v>9</v>
      </c>
      <c r="R376" s="13" t="n">
        <v>4</v>
      </c>
      <c r="S376" s="13" t="n">
        <v>1</v>
      </c>
      <c r="AV376">
        <f>VLOOKUP(A376,Helpers!$B$4:$C$34,2,0)</f>
        <v/>
      </c>
      <c r="AW376">
        <f>IF(IF(COUNTIF($BA$371:$BA$390,BA376)&gt;1,TRUE,FALSE),"T"&amp;BA376,BA376)</f>
        <v/>
      </c>
      <c r="AY376" s="27">
        <f>SUM(M376:O376)/_xlfn.XLOOKUP(AV376,$AN$5:$AN$100,$AM$5:$AM$100,,0)</f>
        <v/>
      </c>
      <c r="BA376">
        <f>RANK(AY376,AY$371:AY$390)</f>
        <v/>
      </c>
    </row>
    <row r="377">
      <c r="A377" s="3" t="inlineStr">
        <is>
          <t>vs Newcastle Utd</t>
        </is>
      </c>
      <c r="B377" s="13" t="n">
        <v>24</v>
      </c>
      <c r="C377" s="13" t="n">
        <v>38</v>
      </c>
      <c r="D377" s="13" t="n">
        <v>832</v>
      </c>
      <c r="E377" s="13" t="n">
        <v>21.89</v>
      </c>
      <c r="F377" s="13" t="n">
        <v>616</v>
      </c>
      <c r="G377" s="13" t="n">
        <v>65</v>
      </c>
      <c r="H377" s="13" t="n">
        <v>48</v>
      </c>
      <c r="I377" s="13" t="n">
        <v>54</v>
      </c>
      <c r="J377" s="13" t="n">
        <v>33</v>
      </c>
      <c r="K377" s="13" t="n">
        <v>16</v>
      </c>
      <c r="L377" s="13" t="n">
        <v>79</v>
      </c>
      <c r="M377" s="13" t="n">
        <v>2.08</v>
      </c>
      <c r="N377" s="13" t="n">
        <v>63</v>
      </c>
      <c r="O377" s="13" t="n">
        <v>5</v>
      </c>
      <c r="P377" s="13" t="n">
        <v>4</v>
      </c>
      <c r="Q377" s="13" t="n">
        <v>1</v>
      </c>
      <c r="R377" s="13" t="n">
        <v>4</v>
      </c>
      <c r="S377" s="13" t="n">
        <v>2</v>
      </c>
      <c r="AV377">
        <f>VLOOKUP(A377,Helpers!$B$4:$C$34,2,0)</f>
        <v/>
      </c>
      <c r="AW377">
        <f>IF(IF(COUNTIF($BA$371:$BA$390,BA377)&gt;1,TRUE,FALSE),"T"&amp;BA377,BA377)</f>
        <v/>
      </c>
      <c r="AY377" s="27">
        <f>SUM(M377:O377)/_xlfn.XLOOKUP(AV377,$AN$5:$AN$100,$AM$5:$AM$100,,0)</f>
        <v/>
      </c>
      <c r="BA377">
        <f>RANK(AY377,AY$371:AY$390)</f>
        <v/>
      </c>
    </row>
    <row r="378">
      <c r="A378" s="3" t="inlineStr">
        <is>
          <t>vs Nott'ham Forest</t>
        </is>
      </c>
      <c r="B378" s="13" t="n">
        <v>23</v>
      </c>
      <c r="C378" s="13" t="n">
        <v>38</v>
      </c>
      <c r="D378" s="13" t="n">
        <v>941</v>
      </c>
      <c r="E378" s="13" t="n">
        <v>24.76</v>
      </c>
      <c r="F378" s="13" t="n">
        <v>698</v>
      </c>
      <c r="G378" s="13" t="n">
        <v>89</v>
      </c>
      <c r="H378" s="13" t="n">
        <v>67</v>
      </c>
      <c r="I378" s="13" t="n">
        <v>51</v>
      </c>
      <c r="J378" s="13" t="n">
        <v>26</v>
      </c>
      <c r="K378" s="13" t="n">
        <v>10</v>
      </c>
      <c r="L378" s="13" t="n">
        <v>80</v>
      </c>
      <c r="M378" s="13" t="n">
        <v>2.11</v>
      </c>
      <c r="N378" s="13" t="n">
        <v>55</v>
      </c>
      <c r="O378" s="13" t="n">
        <v>4</v>
      </c>
      <c r="P378" s="13" t="n">
        <v>9</v>
      </c>
      <c r="Q378" s="13" t="n">
        <v>8</v>
      </c>
      <c r="R378" s="13" t="n">
        <v>3</v>
      </c>
      <c r="S378" s="13" t="n">
        <v>1</v>
      </c>
      <c r="AV378">
        <f>VLOOKUP(A378,Helpers!$B$4:$C$34,2,0)</f>
        <v/>
      </c>
      <c r="AW378">
        <f>IF(IF(COUNTIF($BA$371:$BA$390,BA378)&gt;1,TRUE,FALSE),"T"&amp;BA378,BA378)</f>
        <v/>
      </c>
      <c r="AY378" s="27">
        <f>SUM(M378:O378)/_xlfn.XLOOKUP(AV378,$AN$5:$AN$100,$AM$5:$AM$100,,0)</f>
        <v/>
      </c>
      <c r="BA378">
        <f>RANK(AY378,AY$371:AY$390)</f>
        <v/>
      </c>
    </row>
    <row r="379" ht="15.75" customHeight="1" s="43">
      <c r="A379" s="3" t="inlineStr">
        <is>
          <t>vs Southampton</t>
        </is>
      </c>
      <c r="B379" s="13" t="n">
        <v>36</v>
      </c>
      <c r="C379" s="13" t="n">
        <v>38</v>
      </c>
      <c r="D379" s="13" t="n">
        <v>1207</v>
      </c>
      <c r="E379" s="13" t="n">
        <v>31.76</v>
      </c>
      <c r="F379" s="13" t="n">
        <v>870</v>
      </c>
      <c r="G379" s="13" t="n">
        <v>84</v>
      </c>
      <c r="H379" s="13" t="n">
        <v>72</v>
      </c>
      <c r="I379" s="13" t="n">
        <v>92</v>
      </c>
      <c r="J379" s="13" t="n">
        <v>51</v>
      </c>
      <c r="K379" s="13" t="n">
        <v>38</v>
      </c>
      <c r="L379" s="13" t="n">
        <v>144</v>
      </c>
      <c r="M379" s="13" t="n">
        <v>3.79</v>
      </c>
      <c r="N379" s="13" t="n">
        <v>94</v>
      </c>
      <c r="O379" s="13" t="n">
        <v>12</v>
      </c>
      <c r="P379" s="13" t="n">
        <v>11</v>
      </c>
      <c r="Q379" s="13" t="n">
        <v>14</v>
      </c>
      <c r="R379" s="13" t="n">
        <v>7</v>
      </c>
      <c r="S379" s="13" t="n">
        <v>6</v>
      </c>
      <c r="AV379">
        <f>VLOOKUP(A379,Helpers!$B$4:$C$34,2,0)</f>
        <v/>
      </c>
      <c r="AW379">
        <f>IF(IF(COUNTIF($BA$371:$BA$390,BA379)&gt;1,TRUE,FALSE),"T"&amp;BA379,BA379)</f>
        <v/>
      </c>
      <c r="AY379" s="27">
        <f>SUM(M379:O379)/_xlfn.XLOOKUP(AV379,$AN$5:$AN$100,$AM$5:$AM$100,,0)</f>
        <v/>
      </c>
      <c r="BA379">
        <f>RANK(AY379,AY$371:AY$390)</f>
        <v/>
      </c>
    </row>
    <row r="380">
      <c r="A380" s="3" t="inlineStr">
        <is>
          <t>vs Tottenham</t>
        </is>
      </c>
      <c r="B380" s="13" t="n">
        <v>31</v>
      </c>
      <c r="C380" s="13" t="n">
        <v>38</v>
      </c>
      <c r="D380" s="13" t="n">
        <v>903</v>
      </c>
      <c r="E380" s="13" t="n">
        <v>23.76</v>
      </c>
      <c r="F380" s="13" t="n">
        <v>656</v>
      </c>
      <c r="G380" s="13" t="n">
        <v>72</v>
      </c>
      <c r="H380" s="13" t="n">
        <v>60</v>
      </c>
      <c r="I380" s="13" t="n">
        <v>70</v>
      </c>
      <c r="J380" s="13" t="n">
        <v>30</v>
      </c>
      <c r="K380" s="13" t="n">
        <v>15</v>
      </c>
      <c r="L380" s="13" t="n">
        <v>110</v>
      </c>
      <c r="M380" s="13" t="n">
        <v>2.89</v>
      </c>
      <c r="N380" s="13" t="n">
        <v>78</v>
      </c>
      <c r="O380" s="13" t="n">
        <v>8</v>
      </c>
      <c r="P380" s="13" t="n">
        <v>8</v>
      </c>
      <c r="Q380" s="13" t="n">
        <v>9</v>
      </c>
      <c r="R380" s="13" t="n">
        <v>4</v>
      </c>
      <c r="S380" s="13" t="n">
        <v>3</v>
      </c>
      <c r="AV380">
        <f>VLOOKUP(A380,Helpers!$B$4:$C$34,2,0)</f>
        <v/>
      </c>
      <c r="AW380">
        <f>IF(IF(COUNTIF($BA$371:$BA$390,BA380)&gt;1,TRUE,FALSE),"T"&amp;BA380,BA380)</f>
        <v/>
      </c>
      <c r="AY380" s="27">
        <f>SUM(M380:O380)/_xlfn.XLOOKUP(AV380,$AN$5:$AN$100,$AM$5:$AM$100,,0)</f>
        <v/>
      </c>
      <c r="BA380">
        <f>RANK(AY380,AY$371:AY$390)</f>
        <v/>
      </c>
    </row>
    <row r="381" ht="18" customHeight="1" s="43">
      <c r="A381" s="3" t="inlineStr">
        <is>
          <t>vs West Ham</t>
        </is>
      </c>
      <c r="B381" s="13" t="n">
        <v>27</v>
      </c>
      <c r="C381" s="13" t="n">
        <v>38</v>
      </c>
      <c r="D381" s="13" t="n">
        <v>1041</v>
      </c>
      <c r="E381" s="13" t="n">
        <v>27.39</v>
      </c>
      <c r="F381" s="13" t="n">
        <v>797</v>
      </c>
      <c r="G381" s="13" t="n">
        <v>81</v>
      </c>
      <c r="H381" s="13" t="n">
        <v>30</v>
      </c>
      <c r="I381" s="13" t="n">
        <v>66</v>
      </c>
      <c r="J381" s="13" t="n">
        <v>48</v>
      </c>
      <c r="K381" s="13" t="n">
        <v>19</v>
      </c>
      <c r="L381" s="13" t="n">
        <v>99</v>
      </c>
      <c r="M381" s="13" t="n">
        <v>2.61</v>
      </c>
      <c r="N381" s="13" t="n">
        <v>69</v>
      </c>
      <c r="O381" s="13" t="n">
        <v>7</v>
      </c>
      <c r="P381" s="13" t="n">
        <v>6</v>
      </c>
      <c r="Q381" s="13" t="n">
        <v>8</v>
      </c>
      <c r="R381" s="13" t="n">
        <v>6</v>
      </c>
      <c r="S381" s="13" t="n">
        <v>3</v>
      </c>
      <c r="AV381">
        <f>VLOOKUP(A381,Helpers!$B$4:$C$34,2,0)</f>
        <v/>
      </c>
      <c r="AW381">
        <f>IF(IF(COUNTIF($BA$371:$BA$390,BA381)&gt;1,TRUE,FALSE),"T"&amp;BA381,BA381)</f>
        <v/>
      </c>
      <c r="AY381" s="27">
        <f>SUM(M381:O381)/_xlfn.XLOOKUP(AV381,$AN$5:$AN$100,$AM$5:$AM$100,,0)</f>
        <v/>
      </c>
      <c r="BA381">
        <f>RANK(AY381,AY$371:AY$390)</f>
        <v/>
      </c>
    </row>
    <row r="382" ht="17.1" customHeight="1" s="43">
      <c r="A382" s="3" t="inlineStr">
        <is>
          <t>vs Wolves</t>
        </is>
      </c>
      <c r="B382" s="13" t="n">
        <v>32</v>
      </c>
      <c r="C382" s="13" t="n">
        <v>38</v>
      </c>
      <c r="D382" s="13" t="n">
        <v>832</v>
      </c>
      <c r="E382" s="13" t="n">
        <v>21.89</v>
      </c>
      <c r="F382" s="13" t="n">
        <v>598</v>
      </c>
      <c r="G382" s="13" t="n">
        <v>87</v>
      </c>
      <c r="H382" s="13" t="n">
        <v>41</v>
      </c>
      <c r="I382" s="13" t="n">
        <v>45</v>
      </c>
      <c r="J382" s="13" t="n">
        <v>49</v>
      </c>
      <c r="K382" s="13" t="n">
        <v>12</v>
      </c>
      <c r="L382" s="13" t="n">
        <v>117</v>
      </c>
      <c r="M382" s="13" t="n">
        <v>3.08</v>
      </c>
      <c r="N382" s="13" t="n">
        <v>79</v>
      </c>
      <c r="O382" s="13" t="n">
        <v>10</v>
      </c>
      <c r="P382" s="13" t="n">
        <v>7</v>
      </c>
      <c r="Q382" s="13" t="n">
        <v>9</v>
      </c>
      <c r="R382" s="13" t="n">
        <v>11</v>
      </c>
      <c r="S382" s="13" t="n">
        <v>1</v>
      </c>
      <c r="AV382">
        <f>VLOOKUP(A382,Helpers!$B$4:$C$34,2,0)</f>
        <v/>
      </c>
      <c r="AW382">
        <f>IF(IF(COUNTIF($BA$371:$BA$390,BA382)&gt;1,TRUE,FALSE),"T"&amp;BA382,BA382)</f>
        <v/>
      </c>
      <c r="AY382" s="27">
        <f>SUM(M382:O382)/_xlfn.XLOOKUP(AV382,$AN$5:$AN$100,$AM$5:$AM$100,,0)</f>
        <v/>
      </c>
      <c r="BA382">
        <f>RANK(AY382,AY$371:AY$390)</f>
        <v/>
      </c>
    </row>
    <row r="383">
      <c r="AV383">
        <f>VLOOKUP(A383,Helpers!$B$4:$C$34,2,0)</f>
        <v/>
      </c>
      <c r="AW383">
        <f>IF(IF(COUNTIF($BA$371:$BA$390,BA383)&gt;1,TRUE,FALSE),"T"&amp;BA383,BA383)</f>
        <v/>
      </c>
      <c r="AY383" s="27">
        <f>SUM(M383:O383)/_xlfn.XLOOKUP(AV383,$AN$5:$AN$100,$AM$5:$AM$100,,0)</f>
        <v/>
      </c>
      <c r="BA383">
        <f>RANK(AY383,AY$371:AY$390)</f>
        <v/>
      </c>
    </row>
    <row r="384">
      <c r="A384" s="45" t="inlineStr">
        <is>
          <t>Squad Defensive Actions 2024-2025 Premier League Table</t>
        </is>
      </c>
      <c r="AV384">
        <f>VLOOKUP(A384,Helpers!$B$4:$C$34,2,0)</f>
        <v/>
      </c>
      <c r="AW384">
        <f>IF(IF(COUNTIF($BA$371:$BA$390,BA384)&gt;1,TRUE,FALSE),"T"&amp;BA384,BA384)</f>
        <v/>
      </c>
      <c r="AY384" s="27">
        <f>SUM(M384:O384)/_xlfn.XLOOKUP(AV384,$AN$5:$AN$100,$AM$5:$AM$100,,0)</f>
        <v/>
      </c>
      <c r="BA384">
        <f>RANK(AY384,AY$371:AY$390)</f>
        <v/>
      </c>
    </row>
    <row r="385" ht="17.1" customHeight="1" s="43">
      <c r="A385" s="44" t="n"/>
      <c r="D385" s="44" t="inlineStr">
        <is>
          <t>Tackles</t>
        </is>
      </c>
      <c r="I385" s="44" t="inlineStr">
        <is>
          <t>Challenges</t>
        </is>
      </c>
      <c r="M385" s="44" t="inlineStr">
        <is>
          <t>Blocks</t>
        </is>
      </c>
      <c r="P385" s="44" t="n"/>
      <c r="AV385">
        <f>VLOOKUP(A385,Helpers!$B$4:$C$34,2,0)</f>
        <v/>
      </c>
      <c r="AW385">
        <f>IF(IF(COUNTIF($BA$371:$BA$390,BA385)&gt;1,TRUE,FALSE),"T"&amp;BA385,BA385)</f>
        <v/>
      </c>
      <c r="AY385" s="27">
        <f>SUM(M385:O385)/_xlfn.XLOOKUP(AV385,$AN$5:$AN$100,$AM$5:$AM$100,,0)</f>
        <v/>
      </c>
      <c r="BA385">
        <f>RANK(AY385,AY$371:AY$390)</f>
        <v/>
      </c>
    </row>
    <row r="386">
      <c r="A386" s="44" t="inlineStr">
        <is>
          <t>Squad</t>
        </is>
      </c>
      <c r="B386" s="44" t="inlineStr">
        <is>
          <t># Pl</t>
        </is>
      </c>
      <c r="C386" s="44" t="inlineStr">
        <is>
          <t>90s</t>
        </is>
      </c>
      <c r="D386" s="44" t="inlineStr">
        <is>
          <t>Tkl</t>
        </is>
      </c>
      <c r="E386" s="44" t="inlineStr">
        <is>
          <t>TklW</t>
        </is>
      </c>
      <c r="F386" s="44" t="inlineStr">
        <is>
          <t>Def 3rd</t>
        </is>
      </c>
      <c r="G386" s="44" t="inlineStr">
        <is>
          <t>Mid 3rd</t>
        </is>
      </c>
      <c r="H386" s="44" t="inlineStr">
        <is>
          <t>Att 3rd</t>
        </is>
      </c>
      <c r="I386" s="44" t="inlineStr">
        <is>
          <t>Tkl</t>
        </is>
      </c>
      <c r="J386" s="44" t="inlineStr">
        <is>
          <t>Att</t>
        </is>
      </c>
      <c r="K386" s="44" t="inlineStr">
        <is>
          <t>Tkl%</t>
        </is>
      </c>
      <c r="L386" s="44" t="inlineStr">
        <is>
          <t>Lost</t>
        </is>
      </c>
      <c r="M386" s="44" t="inlineStr">
        <is>
          <t>Blocks</t>
        </is>
      </c>
      <c r="N386" s="44" t="inlineStr">
        <is>
          <t>Sh</t>
        </is>
      </c>
      <c r="O386" s="44" t="inlineStr">
        <is>
          <t>Pass</t>
        </is>
      </c>
      <c r="P386" s="44" t="inlineStr">
        <is>
          <t>Int</t>
        </is>
      </c>
      <c r="Q386" s="44" t="inlineStr">
        <is>
          <t>Tkl+Int</t>
        </is>
      </c>
      <c r="R386" s="44" t="inlineStr">
        <is>
          <t>Clr</t>
        </is>
      </c>
      <c r="S386" s="44" t="inlineStr">
        <is>
          <t>Err</t>
        </is>
      </c>
      <c r="AV386">
        <f>VLOOKUP(A386,Helpers!$B$4:$C$34,2,0)</f>
        <v/>
      </c>
      <c r="AW386">
        <f>IF(IF(COUNTIF($BA$371:$BA$390,BA386)&gt;1,TRUE,FALSE),"T"&amp;BA386,BA386)</f>
        <v/>
      </c>
      <c r="AY386" s="27">
        <f>SUM(M386:O386)/_xlfn.XLOOKUP(AV386,$AN$5:$AN$100,$AM$5:$AM$100,,0)</f>
        <v/>
      </c>
      <c r="BA386">
        <f>RANK(AY386,AY$371:AY$390)</f>
        <v/>
      </c>
    </row>
    <row r="387">
      <c r="A387" s="3" t="inlineStr">
        <is>
          <t>Arsenal</t>
        </is>
      </c>
      <c r="B387" s="13" t="n">
        <v>25</v>
      </c>
      <c r="C387" s="13" t="n">
        <v>38</v>
      </c>
      <c r="D387" s="13" t="n">
        <v>598</v>
      </c>
      <c r="E387" s="13" t="n">
        <v>348</v>
      </c>
      <c r="F387" s="13" t="n">
        <v>220</v>
      </c>
      <c r="G387" s="13" t="n">
        <v>249</v>
      </c>
      <c r="H387" s="13" t="n">
        <v>129</v>
      </c>
      <c r="I387" s="13" t="n">
        <v>260</v>
      </c>
      <c r="J387" s="13" t="n">
        <v>515</v>
      </c>
      <c r="K387" s="13" t="n">
        <v>50.5</v>
      </c>
      <c r="L387" s="13" t="n">
        <v>255</v>
      </c>
      <c r="M387" s="13" t="n">
        <v>328</v>
      </c>
      <c r="N387" s="13" t="n">
        <v>106</v>
      </c>
      <c r="O387" s="13" t="n">
        <v>222</v>
      </c>
      <c r="P387" s="13" t="n">
        <v>225</v>
      </c>
      <c r="Q387" s="13" t="n">
        <v>823</v>
      </c>
      <c r="R387" s="13" t="n">
        <v>680</v>
      </c>
      <c r="S387" s="13" t="n">
        <v>33</v>
      </c>
      <c r="AV387">
        <f>VLOOKUP(A387,Helpers!$B$4:$C$34,2,0)</f>
        <v/>
      </c>
      <c r="AW387">
        <f>IF(IF(COUNTIF($BA$371:$BA$390,BA387)&gt;1,TRUE,FALSE),"T"&amp;BA387,BA387)</f>
        <v/>
      </c>
      <c r="AY387" s="27">
        <f>SUM(M387:O387)/_xlfn.XLOOKUP(AV387,$AN$5:$AN$100,$AM$5:$AM$100,,0)</f>
        <v/>
      </c>
      <c r="BA387">
        <f>RANK(AY387,AY$371:AY$390)</f>
        <v/>
      </c>
    </row>
    <row r="388">
      <c r="A388" s="3" t="inlineStr">
        <is>
          <t>Aston Villa</t>
        </is>
      </c>
      <c r="B388" s="13" t="n">
        <v>28</v>
      </c>
      <c r="C388" s="13" t="n">
        <v>38</v>
      </c>
      <c r="D388" s="13" t="n">
        <v>637</v>
      </c>
      <c r="E388" s="13" t="n">
        <v>372</v>
      </c>
      <c r="F388" s="13" t="n">
        <v>293</v>
      </c>
      <c r="G388" s="13" t="n">
        <v>249</v>
      </c>
      <c r="H388" s="13" t="n">
        <v>95</v>
      </c>
      <c r="I388" s="13" t="n">
        <v>310</v>
      </c>
      <c r="J388" s="13" t="n">
        <v>546</v>
      </c>
      <c r="K388" s="13" t="n">
        <v>56.8</v>
      </c>
      <c r="L388" s="13" t="n">
        <v>236</v>
      </c>
      <c r="M388" s="13" t="n">
        <v>329</v>
      </c>
      <c r="N388" s="13" t="n">
        <v>107</v>
      </c>
      <c r="O388" s="13" t="n">
        <v>222</v>
      </c>
      <c r="P388" s="13" t="n">
        <v>240</v>
      </c>
      <c r="Q388" s="13" t="n">
        <v>877</v>
      </c>
      <c r="R388" s="13" t="n">
        <v>788</v>
      </c>
      <c r="S388" s="13" t="n">
        <v>43</v>
      </c>
      <c r="AV388">
        <f>VLOOKUP(A388,Helpers!$B$4:$C$34,2,0)</f>
        <v/>
      </c>
      <c r="AW388">
        <f>IF(IF(COUNTIF($BA$371:$BA$390,BA388)&gt;1,TRUE,FALSE),"T"&amp;BA388,BA388)</f>
        <v/>
      </c>
      <c r="AY388" s="27">
        <f>SUM(M388:O388)/_xlfn.XLOOKUP(AV388,$AN$5:$AN$100,$AM$5:$AM$100,,0)</f>
        <v/>
      </c>
      <c r="BA388">
        <f>RANK(AY388,AY$371:AY$390)</f>
        <v/>
      </c>
    </row>
    <row r="389" ht="15.75" customHeight="1" s="43">
      <c r="A389" s="3" t="inlineStr">
        <is>
          <t>Bournemouth</t>
        </is>
      </c>
      <c r="B389" s="13" t="n">
        <v>29</v>
      </c>
      <c r="C389" s="13" t="n">
        <v>38</v>
      </c>
      <c r="D389" s="13" t="n">
        <v>691</v>
      </c>
      <c r="E389" s="13" t="n">
        <v>399</v>
      </c>
      <c r="F389" s="13" t="n">
        <v>290</v>
      </c>
      <c r="G389" s="13" t="n">
        <v>299</v>
      </c>
      <c r="H389" s="13" t="n">
        <v>102</v>
      </c>
      <c r="I389" s="13" t="n">
        <v>301</v>
      </c>
      <c r="J389" s="13" t="n">
        <v>627</v>
      </c>
      <c r="K389" s="13" t="n">
        <v>48</v>
      </c>
      <c r="L389" s="13" t="n">
        <v>326</v>
      </c>
      <c r="M389" s="13" t="n">
        <v>459</v>
      </c>
      <c r="N389" s="13" t="n">
        <v>136</v>
      </c>
      <c r="O389" s="13" t="n">
        <v>323</v>
      </c>
      <c r="P389" s="13" t="n">
        <v>351</v>
      </c>
      <c r="Q389" s="13" t="n">
        <v>1042</v>
      </c>
      <c r="R389" s="13" t="n">
        <v>1013</v>
      </c>
      <c r="S389" s="13" t="n">
        <v>22</v>
      </c>
      <c r="AV389">
        <f>VLOOKUP(A389,Helpers!$B$4:$C$34,2,0)</f>
        <v/>
      </c>
      <c r="AW389">
        <f>IF(IF(COUNTIF($BA$371:$BA$390,BA389)&gt;1,TRUE,FALSE),"T"&amp;BA389,BA389)</f>
        <v/>
      </c>
      <c r="AY389" s="27">
        <f>SUM(M389:O389)/_xlfn.XLOOKUP(AV389,$AN$5:$AN$100,$AM$5:$AM$100,,0)</f>
        <v/>
      </c>
      <c r="BA389">
        <f>RANK(AY389,AY$371:AY$390)</f>
        <v/>
      </c>
    </row>
    <row r="390">
      <c r="A390" s="3" t="inlineStr">
        <is>
          <t>Brentford</t>
        </is>
      </c>
      <c r="B390" s="13" t="n">
        <v>28</v>
      </c>
      <c r="C390" s="13" t="n">
        <v>38</v>
      </c>
      <c r="D390" s="13" t="n">
        <v>633</v>
      </c>
      <c r="E390" s="13" t="n">
        <v>380</v>
      </c>
      <c r="F390" s="13" t="n">
        <v>289</v>
      </c>
      <c r="G390" s="13" t="n">
        <v>223</v>
      </c>
      <c r="H390" s="13" t="n">
        <v>121</v>
      </c>
      <c r="I390" s="13" t="n">
        <v>314</v>
      </c>
      <c r="J390" s="13" t="n">
        <v>596</v>
      </c>
      <c r="K390" s="13" t="n">
        <v>52.7</v>
      </c>
      <c r="L390" s="13" t="n">
        <v>282</v>
      </c>
      <c r="M390" s="13" t="n">
        <v>480</v>
      </c>
      <c r="N390" s="13" t="n">
        <v>199</v>
      </c>
      <c r="O390" s="13" t="n">
        <v>281</v>
      </c>
      <c r="P390" s="13" t="n">
        <v>285</v>
      </c>
      <c r="Q390" s="13" t="n">
        <v>918</v>
      </c>
      <c r="R390" s="13" t="n">
        <v>1040</v>
      </c>
      <c r="S390" s="13" t="n">
        <v>28</v>
      </c>
      <c r="AV390">
        <f>VLOOKUP(A390,Helpers!$B$4:$C$34,2,0)</f>
        <v/>
      </c>
      <c r="AW390">
        <f>IF(IF(COUNTIF($BA$371:$BA$390,BA390)&gt;1,TRUE,FALSE),"T"&amp;BA390,BA390)</f>
        <v/>
      </c>
      <c r="AY390" s="27">
        <f>SUM(M390:O390)/_xlfn.XLOOKUP(AV390,$AN$5:$AN$100,$AM$5:$AM$100,,0)</f>
        <v/>
      </c>
      <c r="BA390">
        <f>RANK(AY390,AY$371:AY$390)</f>
        <v/>
      </c>
    </row>
    <row r="391">
      <c r="A391" s="3" t="inlineStr">
        <is>
          <t>Brighton</t>
        </is>
      </c>
      <c r="B391" s="13" t="n">
        <v>32</v>
      </c>
      <c r="C391" s="13" t="n">
        <v>38</v>
      </c>
      <c r="D391" s="13" t="n">
        <v>705</v>
      </c>
      <c r="E391" s="13" t="n">
        <v>431</v>
      </c>
      <c r="F391" s="13" t="n">
        <v>287</v>
      </c>
      <c r="G391" s="13" t="n">
        <v>297</v>
      </c>
      <c r="H391" s="13" t="n">
        <v>121</v>
      </c>
      <c r="I391" s="13" t="n">
        <v>350</v>
      </c>
      <c r="J391" s="13" t="n">
        <v>703</v>
      </c>
      <c r="K391" s="13" t="n">
        <v>49.8</v>
      </c>
      <c r="L391" s="13" t="n">
        <v>353</v>
      </c>
      <c r="M391" s="13" t="n">
        <v>439</v>
      </c>
      <c r="N391" s="13" t="n">
        <v>122</v>
      </c>
      <c r="O391" s="13" t="n">
        <v>317</v>
      </c>
      <c r="P391" s="13" t="n">
        <v>315</v>
      </c>
      <c r="Q391" s="13" t="n">
        <v>1020</v>
      </c>
      <c r="R391" s="13" t="n">
        <v>762</v>
      </c>
      <c r="S391" s="13" t="n">
        <v>29</v>
      </c>
    </row>
    <row r="392">
      <c r="A392" s="3" t="inlineStr">
        <is>
          <t>Chelsea</t>
        </is>
      </c>
      <c r="B392" s="13" t="n">
        <v>29</v>
      </c>
      <c r="C392" s="13" t="n">
        <v>38</v>
      </c>
      <c r="D392" s="13" t="n">
        <v>588</v>
      </c>
      <c r="E392" s="13" t="n">
        <v>371</v>
      </c>
      <c r="F392" s="13" t="n">
        <v>243</v>
      </c>
      <c r="G392" s="13" t="n">
        <v>244</v>
      </c>
      <c r="H392" s="13" t="n">
        <v>101</v>
      </c>
      <c r="I392" s="13" t="n">
        <v>273</v>
      </c>
      <c r="J392" s="13" t="n">
        <v>536</v>
      </c>
      <c r="K392" s="13" t="n">
        <v>50.9</v>
      </c>
      <c r="L392" s="13" t="n">
        <v>263</v>
      </c>
      <c r="M392" s="13" t="n">
        <v>356</v>
      </c>
      <c r="N392" s="13" t="n">
        <v>103</v>
      </c>
      <c r="O392" s="13" t="n">
        <v>253</v>
      </c>
      <c r="P392" s="13" t="n">
        <v>272</v>
      </c>
      <c r="Q392" s="13" t="n">
        <v>860</v>
      </c>
      <c r="R392" s="13" t="n">
        <v>695</v>
      </c>
      <c r="S392" s="13" t="n">
        <v>45</v>
      </c>
    </row>
    <row r="393" ht="17.1" customHeight="1" s="43">
      <c r="A393" s="3" t="inlineStr">
        <is>
          <t>Crystal Palace</t>
        </is>
      </c>
      <c r="B393" s="13" t="n">
        <v>29</v>
      </c>
      <c r="C393" s="13" t="n">
        <v>38</v>
      </c>
      <c r="D393" s="13" t="n">
        <v>767</v>
      </c>
      <c r="E393" s="13" t="n">
        <v>450</v>
      </c>
      <c r="F393" s="13" t="n">
        <v>374</v>
      </c>
      <c r="G393" s="13" t="n">
        <v>299</v>
      </c>
      <c r="H393" s="13" t="n">
        <v>94</v>
      </c>
      <c r="I393" s="13" t="n">
        <v>324</v>
      </c>
      <c r="J393" s="13" t="n">
        <v>643</v>
      </c>
      <c r="K393" s="13" t="n">
        <v>50.4</v>
      </c>
      <c r="L393" s="13" t="n">
        <v>319</v>
      </c>
      <c r="M393" s="13" t="n">
        <v>485</v>
      </c>
      <c r="N393" s="13" t="n">
        <v>144</v>
      </c>
      <c r="O393" s="13" t="n">
        <v>341</v>
      </c>
      <c r="P393" s="13" t="n">
        <v>334</v>
      </c>
      <c r="Q393" s="13" t="n">
        <v>1101</v>
      </c>
      <c r="R393" s="13" t="n">
        <v>1088</v>
      </c>
      <c r="S393" s="13" t="n">
        <v>19</v>
      </c>
    </row>
    <row r="394">
      <c r="A394" s="3" t="inlineStr">
        <is>
          <t>Everton</t>
        </is>
      </c>
      <c r="B394" s="13" t="n">
        <v>26</v>
      </c>
      <c r="C394" s="13" t="n">
        <v>38</v>
      </c>
      <c r="D394" s="13" t="n">
        <v>732</v>
      </c>
      <c r="E394" s="13" t="n">
        <v>433</v>
      </c>
      <c r="F394" s="13" t="n">
        <v>366</v>
      </c>
      <c r="G394" s="13" t="n">
        <v>269</v>
      </c>
      <c r="H394" s="13" t="n">
        <v>97</v>
      </c>
      <c r="I394" s="13" t="n">
        <v>338</v>
      </c>
      <c r="J394" s="13" t="n">
        <v>656</v>
      </c>
      <c r="K394" s="13" t="n">
        <v>51.5</v>
      </c>
      <c r="L394" s="13" t="n">
        <v>318</v>
      </c>
      <c r="M394" s="13" t="n">
        <v>392</v>
      </c>
      <c r="N394" s="13" t="n">
        <v>138</v>
      </c>
      <c r="O394" s="13" t="n">
        <v>254</v>
      </c>
      <c r="P394" s="13" t="n">
        <v>345</v>
      </c>
      <c r="Q394" s="13" t="n">
        <v>1077</v>
      </c>
      <c r="R394" s="13" t="n">
        <v>1088</v>
      </c>
      <c r="S394" s="13" t="n">
        <v>25</v>
      </c>
    </row>
    <row r="395">
      <c r="A395" s="3" t="inlineStr">
        <is>
          <t>Fulham</t>
        </is>
      </c>
      <c r="B395" s="13" t="n">
        <v>26</v>
      </c>
      <c r="C395" s="13" t="n">
        <v>38</v>
      </c>
      <c r="D395" s="13" t="n">
        <v>679</v>
      </c>
      <c r="E395" s="13" t="n">
        <v>411</v>
      </c>
      <c r="F395" s="13" t="n">
        <v>327</v>
      </c>
      <c r="G395" s="13" t="n">
        <v>259</v>
      </c>
      <c r="H395" s="13" t="n">
        <v>93</v>
      </c>
      <c r="I395" s="13" t="n">
        <v>289</v>
      </c>
      <c r="J395" s="13" t="n">
        <v>565</v>
      </c>
      <c r="K395" s="13" t="n">
        <v>51.2</v>
      </c>
      <c r="L395" s="13" t="n">
        <v>276</v>
      </c>
      <c r="M395" s="13" t="n">
        <v>382</v>
      </c>
      <c r="N395" s="13" t="n">
        <v>113</v>
      </c>
      <c r="O395" s="13" t="n">
        <v>269</v>
      </c>
      <c r="P395" s="13" t="n">
        <v>302</v>
      </c>
      <c r="Q395" s="13" t="n">
        <v>981</v>
      </c>
      <c r="R395" s="13" t="n">
        <v>914</v>
      </c>
      <c r="S395" s="13" t="n">
        <v>33</v>
      </c>
    </row>
    <row r="396">
      <c r="A396" s="3" t="inlineStr">
        <is>
          <t>Ipswich Town</t>
        </is>
      </c>
      <c r="B396" s="13" t="n">
        <v>32</v>
      </c>
      <c r="C396" s="13" t="n">
        <v>38</v>
      </c>
      <c r="D396" s="13" t="n">
        <v>589</v>
      </c>
      <c r="E396" s="13" t="n">
        <v>340</v>
      </c>
      <c r="F396" s="13" t="n">
        <v>294</v>
      </c>
      <c r="G396" s="13" t="n">
        <v>214</v>
      </c>
      <c r="H396" s="13" t="n">
        <v>81</v>
      </c>
      <c r="I396" s="13" t="n">
        <v>281</v>
      </c>
      <c r="J396" s="13" t="n">
        <v>604</v>
      </c>
      <c r="K396" s="13" t="n">
        <v>46.5</v>
      </c>
      <c r="L396" s="13" t="n">
        <v>323</v>
      </c>
      <c r="M396" s="13" t="n">
        <v>436</v>
      </c>
      <c r="N396" s="13" t="n">
        <v>185</v>
      </c>
      <c r="O396" s="13" t="n">
        <v>251</v>
      </c>
      <c r="P396" s="13" t="n">
        <v>303</v>
      </c>
      <c r="Q396" s="13" t="n">
        <v>892</v>
      </c>
      <c r="R396" s="13" t="n">
        <v>1102</v>
      </c>
      <c r="S396" s="13" t="n">
        <v>39</v>
      </c>
    </row>
    <row r="397" ht="18" customHeight="1" s="43">
      <c r="A397" s="3" t="inlineStr">
        <is>
          <t>Leicester City</t>
        </is>
      </c>
      <c r="B397" s="13" t="n">
        <v>32</v>
      </c>
      <c r="C397" s="13" t="n">
        <v>38</v>
      </c>
      <c r="D397" s="13" t="n">
        <v>728</v>
      </c>
      <c r="E397" s="13" t="n">
        <v>431</v>
      </c>
      <c r="F397" s="13" t="n">
        <v>361</v>
      </c>
      <c r="G397" s="13" t="n">
        <v>278</v>
      </c>
      <c r="H397" s="13" t="n">
        <v>89</v>
      </c>
      <c r="I397" s="13" t="n">
        <v>336</v>
      </c>
      <c r="J397" s="13" t="n">
        <v>695</v>
      </c>
      <c r="K397" s="13" t="n">
        <v>48.3</v>
      </c>
      <c r="L397" s="13" t="n">
        <v>359</v>
      </c>
      <c r="M397" s="13" t="n">
        <v>505</v>
      </c>
      <c r="N397" s="13" t="n">
        <v>198</v>
      </c>
      <c r="O397" s="13" t="n">
        <v>307</v>
      </c>
      <c r="P397" s="13" t="n">
        <v>327</v>
      </c>
      <c r="Q397" s="13" t="n">
        <v>1055</v>
      </c>
      <c r="R397" s="13" t="n">
        <v>987</v>
      </c>
      <c r="S397" s="13" t="n">
        <v>31</v>
      </c>
    </row>
    <row r="398" ht="17.1" customHeight="1" s="43">
      <c r="A398" s="3" t="inlineStr">
        <is>
          <t>Liverpool</t>
        </is>
      </c>
      <c r="B398" s="13" t="n">
        <v>24</v>
      </c>
      <c r="C398" s="13" t="n">
        <v>38</v>
      </c>
      <c r="D398" s="13" t="n">
        <v>642</v>
      </c>
      <c r="E398" s="13" t="n">
        <v>391</v>
      </c>
      <c r="F398" s="13" t="n">
        <v>271</v>
      </c>
      <c r="G398" s="13" t="n">
        <v>267</v>
      </c>
      <c r="H398" s="13" t="n">
        <v>104</v>
      </c>
      <c r="I398" s="13" t="n">
        <v>340</v>
      </c>
      <c r="J398" s="13" t="n">
        <v>656</v>
      </c>
      <c r="K398" s="13" t="n">
        <v>51.8</v>
      </c>
      <c r="L398" s="13" t="n">
        <v>316</v>
      </c>
      <c r="M398" s="13" t="n">
        <v>367</v>
      </c>
      <c r="N398" s="13" t="n">
        <v>97</v>
      </c>
      <c r="O398" s="13" t="n">
        <v>270</v>
      </c>
      <c r="P398" s="13" t="n">
        <v>299</v>
      </c>
      <c r="Q398" s="13" t="n">
        <v>941</v>
      </c>
      <c r="R398" s="13" t="n">
        <v>724</v>
      </c>
      <c r="S398" s="13" t="n">
        <v>31</v>
      </c>
    </row>
    <row r="399">
      <c r="A399" s="3" t="inlineStr">
        <is>
          <t>Manchester City</t>
        </is>
      </c>
      <c r="B399" s="13" t="n">
        <v>30</v>
      </c>
      <c r="C399" s="13" t="n">
        <v>38</v>
      </c>
      <c r="D399" s="13" t="n">
        <v>497</v>
      </c>
      <c r="E399" s="13" t="n">
        <v>299</v>
      </c>
      <c r="F399" s="13" t="n">
        <v>183</v>
      </c>
      <c r="G399" s="13" t="n">
        <v>216</v>
      </c>
      <c r="H399" s="13" t="n">
        <v>98</v>
      </c>
      <c r="I399" s="13" t="n">
        <v>214</v>
      </c>
      <c r="J399" s="13" t="n">
        <v>449</v>
      </c>
      <c r="K399" s="13" t="n">
        <v>47.7</v>
      </c>
      <c r="L399" s="13" t="n">
        <v>235</v>
      </c>
      <c r="M399" s="13" t="n">
        <v>331</v>
      </c>
      <c r="N399" s="13" t="n">
        <v>89</v>
      </c>
      <c r="O399" s="13" t="n">
        <v>242</v>
      </c>
      <c r="P399" s="13" t="n">
        <v>229</v>
      </c>
      <c r="Q399" s="13" t="n">
        <v>726</v>
      </c>
      <c r="R399" s="13" t="n">
        <v>619</v>
      </c>
      <c r="S399" s="13" t="n">
        <v>35</v>
      </c>
    </row>
    <row r="400">
      <c r="A400" s="3" t="inlineStr">
        <is>
          <t>Manchester Utd</t>
        </is>
      </c>
      <c r="B400" s="13" t="n">
        <v>31</v>
      </c>
      <c r="C400" s="13" t="n">
        <v>38</v>
      </c>
      <c r="D400" s="13" t="n">
        <v>817</v>
      </c>
      <c r="E400" s="13" t="n">
        <v>493</v>
      </c>
      <c r="F400" s="13" t="n">
        <v>394</v>
      </c>
      <c r="G400" s="13" t="n">
        <v>305</v>
      </c>
      <c r="H400" s="13" t="n">
        <v>118</v>
      </c>
      <c r="I400" s="13" t="n">
        <v>400</v>
      </c>
      <c r="J400" s="13" t="n">
        <v>723</v>
      </c>
      <c r="K400" s="13" t="n">
        <v>55.3</v>
      </c>
      <c r="L400" s="13" t="n">
        <v>323</v>
      </c>
      <c r="M400" s="13" t="n">
        <v>386</v>
      </c>
      <c r="N400" s="13" t="n">
        <v>107</v>
      </c>
      <c r="O400" s="13" t="n">
        <v>279</v>
      </c>
      <c r="P400" s="13" t="n">
        <v>358</v>
      </c>
      <c r="Q400" s="13" t="n">
        <v>1175</v>
      </c>
      <c r="R400" s="13" t="n">
        <v>759</v>
      </c>
      <c r="S400" s="13" t="n">
        <v>26</v>
      </c>
    </row>
    <row r="401" ht="15.75" customHeight="1" s="43">
      <c r="A401" s="3" t="inlineStr">
        <is>
          <t>Newcastle Utd</t>
        </is>
      </c>
      <c r="B401" s="13" t="n">
        <v>24</v>
      </c>
      <c r="C401" s="13" t="n">
        <v>38</v>
      </c>
      <c r="D401" s="13" t="n">
        <v>603</v>
      </c>
      <c r="E401" s="13" t="n">
        <v>371</v>
      </c>
      <c r="F401" s="13" t="n">
        <v>275</v>
      </c>
      <c r="G401" s="13" t="n">
        <v>235</v>
      </c>
      <c r="H401" s="13" t="n">
        <v>93</v>
      </c>
      <c r="I401" s="13" t="n">
        <v>306</v>
      </c>
      <c r="J401" s="13" t="n">
        <v>604</v>
      </c>
      <c r="K401" s="13" t="n">
        <v>50.7</v>
      </c>
      <c r="L401" s="13" t="n">
        <v>298</v>
      </c>
      <c r="M401" s="13" t="n">
        <v>411</v>
      </c>
      <c r="N401" s="13" t="n">
        <v>141</v>
      </c>
      <c r="O401" s="13" t="n">
        <v>270</v>
      </c>
      <c r="P401" s="13" t="n">
        <v>270</v>
      </c>
      <c r="Q401" s="13" t="n">
        <v>873</v>
      </c>
      <c r="R401" s="13" t="n">
        <v>884</v>
      </c>
      <c r="S401" s="13" t="n">
        <v>34</v>
      </c>
    </row>
    <row r="402">
      <c r="A402" s="3" t="inlineStr">
        <is>
          <t>Nott'ham Forest</t>
        </is>
      </c>
      <c r="B402" s="13" t="n">
        <v>23</v>
      </c>
      <c r="C402" s="13" t="n">
        <v>38</v>
      </c>
      <c r="D402" s="13" t="n">
        <v>698</v>
      </c>
      <c r="E402" s="13" t="n">
        <v>419</v>
      </c>
      <c r="F402" s="13" t="n">
        <v>406</v>
      </c>
      <c r="G402" s="13" t="n">
        <v>225</v>
      </c>
      <c r="H402" s="13" t="n">
        <v>67</v>
      </c>
      <c r="I402" s="13" t="n">
        <v>343</v>
      </c>
      <c r="J402" s="13" t="n">
        <v>670</v>
      </c>
      <c r="K402" s="13" t="n">
        <v>51.2</v>
      </c>
      <c r="L402" s="13" t="n">
        <v>327</v>
      </c>
      <c r="M402" s="13" t="n">
        <v>427</v>
      </c>
      <c r="N402" s="13" t="n">
        <v>157</v>
      </c>
      <c r="O402" s="13" t="n">
        <v>270</v>
      </c>
      <c r="P402" s="13" t="n">
        <v>322</v>
      </c>
      <c r="Q402" s="13" t="n">
        <v>1020</v>
      </c>
      <c r="R402" s="13" t="n">
        <v>1220</v>
      </c>
      <c r="S402" s="13" t="n">
        <v>24</v>
      </c>
    </row>
    <row r="403" ht="18" customHeight="1" s="43">
      <c r="A403" s="3" t="inlineStr">
        <is>
          <t>Southampton</t>
        </is>
      </c>
      <c r="B403" s="13" t="n">
        <v>36</v>
      </c>
      <c r="C403" s="13" t="n">
        <v>38</v>
      </c>
      <c r="D403" s="13" t="n">
        <v>652</v>
      </c>
      <c r="E403" s="13" t="n">
        <v>378</v>
      </c>
      <c r="F403" s="13" t="n">
        <v>310</v>
      </c>
      <c r="G403" s="13" t="n">
        <v>266</v>
      </c>
      <c r="H403" s="13" t="n">
        <v>76</v>
      </c>
      <c r="I403" s="13" t="n">
        <v>280</v>
      </c>
      <c r="J403" s="13" t="n">
        <v>584</v>
      </c>
      <c r="K403" s="13" t="n">
        <v>47.9</v>
      </c>
      <c r="L403" s="13" t="n">
        <v>304</v>
      </c>
      <c r="M403" s="13" t="n">
        <v>433</v>
      </c>
      <c r="N403" s="13" t="n">
        <v>201</v>
      </c>
      <c r="O403" s="13" t="n">
        <v>232</v>
      </c>
      <c r="P403" s="13" t="n">
        <v>305</v>
      </c>
      <c r="Q403" s="13" t="n">
        <v>957</v>
      </c>
      <c r="R403" s="13" t="n">
        <v>988</v>
      </c>
      <c r="S403" s="13" t="n">
        <v>51</v>
      </c>
    </row>
    <row r="404" ht="17.1" customHeight="1" s="43">
      <c r="A404" s="3" t="inlineStr">
        <is>
          <t>Tottenham</t>
        </is>
      </c>
      <c r="B404" s="13" t="n">
        <v>31</v>
      </c>
      <c r="C404" s="13" t="n">
        <v>38</v>
      </c>
      <c r="D404" s="13" t="n">
        <v>661</v>
      </c>
      <c r="E404" s="13" t="n">
        <v>414</v>
      </c>
      <c r="F404" s="13" t="n">
        <v>285</v>
      </c>
      <c r="G404" s="13" t="n">
        <v>271</v>
      </c>
      <c r="H404" s="13" t="n">
        <v>105</v>
      </c>
      <c r="I404" s="13" t="n">
        <v>296</v>
      </c>
      <c r="J404" s="13" t="n">
        <v>598</v>
      </c>
      <c r="K404" s="13" t="n">
        <v>49.5</v>
      </c>
      <c r="L404" s="13" t="n">
        <v>302</v>
      </c>
      <c r="M404" s="13" t="n">
        <v>448</v>
      </c>
      <c r="N404" s="13" t="n">
        <v>159</v>
      </c>
      <c r="O404" s="13" t="n">
        <v>289</v>
      </c>
      <c r="P404" s="13" t="n">
        <v>322</v>
      </c>
      <c r="Q404" s="13" t="n">
        <v>983</v>
      </c>
      <c r="R404" s="13" t="n">
        <v>821</v>
      </c>
      <c r="S404" s="13" t="n">
        <v>41</v>
      </c>
    </row>
    <row r="405">
      <c r="A405" s="3" t="inlineStr">
        <is>
          <t>West Ham</t>
        </is>
      </c>
      <c r="B405" s="13" t="n">
        <v>27</v>
      </c>
      <c r="C405" s="13" t="n">
        <v>38</v>
      </c>
      <c r="D405" s="13" t="n">
        <v>654</v>
      </c>
      <c r="E405" s="13" t="n">
        <v>388</v>
      </c>
      <c r="F405" s="13" t="n">
        <v>317</v>
      </c>
      <c r="G405" s="13" t="n">
        <v>253</v>
      </c>
      <c r="H405" s="13" t="n">
        <v>84</v>
      </c>
      <c r="I405" s="13" t="n">
        <v>290</v>
      </c>
      <c r="J405" s="13" t="n">
        <v>532</v>
      </c>
      <c r="K405" s="13" t="n">
        <v>54.5</v>
      </c>
      <c r="L405" s="13" t="n">
        <v>242</v>
      </c>
      <c r="M405" s="13" t="n">
        <v>440</v>
      </c>
      <c r="N405" s="13" t="n">
        <v>169</v>
      </c>
      <c r="O405" s="13" t="n">
        <v>271</v>
      </c>
      <c r="P405" s="13" t="n">
        <v>331</v>
      </c>
      <c r="Q405" s="13" t="n">
        <v>985</v>
      </c>
      <c r="R405" s="13" t="n">
        <v>1037</v>
      </c>
      <c r="S405" s="13" t="n">
        <v>28</v>
      </c>
    </row>
    <row r="406">
      <c r="A406" s="3" t="inlineStr">
        <is>
          <t>Wolves</t>
        </is>
      </c>
      <c r="B406" s="13" t="n">
        <v>32</v>
      </c>
      <c r="C406" s="13" t="n">
        <v>38</v>
      </c>
      <c r="D406" s="13" t="n">
        <v>801</v>
      </c>
      <c r="E406" s="13" t="n">
        <v>471</v>
      </c>
      <c r="F406" s="13" t="n">
        <v>412</v>
      </c>
      <c r="G406" s="13" t="n">
        <v>305</v>
      </c>
      <c r="H406" s="13" t="n">
        <v>84</v>
      </c>
      <c r="I406" s="13" t="n">
        <v>373</v>
      </c>
      <c r="J406" s="13" t="n">
        <v>669</v>
      </c>
      <c r="K406" s="13" t="n">
        <v>55.8</v>
      </c>
      <c r="L406" s="13" t="n">
        <v>296</v>
      </c>
      <c r="M406" s="13" t="n">
        <v>437</v>
      </c>
      <c r="N406" s="13" t="n">
        <v>137</v>
      </c>
      <c r="O406" s="13" t="n">
        <v>300</v>
      </c>
      <c r="P406" s="13" t="n">
        <v>298</v>
      </c>
      <c r="Q406" s="13" t="n">
        <v>1099</v>
      </c>
      <c r="R406" s="13" t="n">
        <v>947</v>
      </c>
      <c r="S406" s="13" t="n">
        <v>25</v>
      </c>
    </row>
    <row r="408">
      <c r="A408" s="45" t="inlineStr">
        <is>
          <t>Squad Defensive Actions 2024-2025 Premier League Table</t>
        </is>
      </c>
    </row>
    <row r="409" ht="17.1" customHeight="1" s="43">
      <c r="A409" s="44" t="n"/>
      <c r="D409" s="44" t="inlineStr">
        <is>
          <t>Tackles</t>
        </is>
      </c>
      <c r="I409" s="44" t="inlineStr">
        <is>
          <t>Challenges</t>
        </is>
      </c>
      <c r="M409" s="44" t="inlineStr">
        <is>
          <t>Blocks</t>
        </is>
      </c>
      <c r="P409" s="44" t="n"/>
    </row>
    <row r="410">
      <c r="A410" s="44" t="inlineStr">
        <is>
          <t>Squad</t>
        </is>
      </c>
      <c r="B410" s="44" t="inlineStr">
        <is>
          <t># Pl</t>
        </is>
      </c>
      <c r="C410" s="44" t="inlineStr">
        <is>
          <t>90s</t>
        </is>
      </c>
      <c r="D410" s="44" t="inlineStr">
        <is>
          <t>Tkl</t>
        </is>
      </c>
      <c r="E410" s="44" t="inlineStr">
        <is>
          <t>TklW</t>
        </is>
      </c>
      <c r="F410" s="44" t="inlineStr">
        <is>
          <t>Def 3rd</t>
        </is>
      </c>
      <c r="G410" s="44" t="inlineStr">
        <is>
          <t>Mid 3rd</t>
        </is>
      </c>
      <c r="H410" s="44" t="inlineStr">
        <is>
          <t>Att 3rd</t>
        </is>
      </c>
      <c r="I410" s="44" t="inlineStr">
        <is>
          <t>Tkl</t>
        </is>
      </c>
      <c r="J410" s="44" t="inlineStr">
        <is>
          <t>Att</t>
        </is>
      </c>
      <c r="K410" s="44" t="inlineStr">
        <is>
          <t>Tkl%</t>
        </is>
      </c>
      <c r="L410" s="44" t="inlineStr">
        <is>
          <t>Lost</t>
        </is>
      </c>
      <c r="M410" s="44" t="inlineStr">
        <is>
          <t>Blocks</t>
        </is>
      </c>
      <c r="N410" s="44" t="inlineStr">
        <is>
          <t>Sh</t>
        </is>
      </c>
      <c r="O410" s="44" t="inlineStr">
        <is>
          <t>Pass</t>
        </is>
      </c>
      <c r="P410" s="44" t="inlineStr">
        <is>
          <t>Int</t>
        </is>
      </c>
      <c r="Q410" s="44" t="inlineStr">
        <is>
          <t>Tkl+Int</t>
        </is>
      </c>
      <c r="R410" s="44" t="inlineStr">
        <is>
          <t>Clr</t>
        </is>
      </c>
      <c r="S410" s="44" t="inlineStr">
        <is>
          <t>Err</t>
        </is>
      </c>
    </row>
    <row r="411">
      <c r="A411" s="3" t="inlineStr">
        <is>
          <t>vs Arsenal</t>
        </is>
      </c>
      <c r="B411" s="13" t="n">
        <v>25</v>
      </c>
      <c r="C411" s="13" t="n">
        <v>38</v>
      </c>
      <c r="D411" s="13" t="n">
        <v>698</v>
      </c>
      <c r="E411" s="13" t="n">
        <v>420</v>
      </c>
      <c r="F411" s="13" t="n">
        <v>406</v>
      </c>
      <c r="G411" s="13" t="n">
        <v>214</v>
      </c>
      <c r="H411" s="13" t="n">
        <v>78</v>
      </c>
      <c r="I411" s="13" t="n">
        <v>316</v>
      </c>
      <c r="J411" s="13" t="n">
        <v>636</v>
      </c>
      <c r="K411" s="13" t="n">
        <v>49.7</v>
      </c>
      <c r="L411" s="13" t="n">
        <v>320</v>
      </c>
      <c r="M411" s="13" t="n">
        <v>410</v>
      </c>
      <c r="N411" s="13" t="n">
        <v>180</v>
      </c>
      <c r="O411" s="13" t="n">
        <v>230</v>
      </c>
      <c r="P411" s="13" t="n">
        <v>261</v>
      </c>
      <c r="Q411" s="13" t="n">
        <v>959</v>
      </c>
      <c r="R411" s="13" t="n">
        <v>1038</v>
      </c>
      <c r="S411" s="13" t="n">
        <v>38</v>
      </c>
    </row>
    <row r="412">
      <c r="A412" s="3" t="inlineStr">
        <is>
          <t>vs Aston Villa</t>
        </is>
      </c>
      <c r="B412" s="13" t="n">
        <v>28</v>
      </c>
      <c r="C412" s="13" t="n">
        <v>38</v>
      </c>
      <c r="D412" s="13" t="n">
        <v>685</v>
      </c>
      <c r="E412" s="13" t="n">
        <v>387</v>
      </c>
      <c r="F412" s="13" t="n">
        <v>322</v>
      </c>
      <c r="G412" s="13" t="n">
        <v>258</v>
      </c>
      <c r="H412" s="13" t="n">
        <v>105</v>
      </c>
      <c r="I412" s="13" t="n">
        <v>299</v>
      </c>
      <c r="J412" s="13" t="n">
        <v>626</v>
      </c>
      <c r="K412" s="13" t="n">
        <v>47.8</v>
      </c>
      <c r="L412" s="13" t="n">
        <v>327</v>
      </c>
      <c r="M412" s="13" t="n">
        <v>419</v>
      </c>
      <c r="N412" s="13" t="n">
        <v>136</v>
      </c>
      <c r="O412" s="13" t="n">
        <v>283</v>
      </c>
      <c r="P412" s="13" t="n">
        <v>347</v>
      </c>
      <c r="Q412" s="13" t="n">
        <v>1032</v>
      </c>
      <c r="R412" s="13" t="n">
        <v>869</v>
      </c>
      <c r="S412" s="13" t="n">
        <v>30</v>
      </c>
    </row>
    <row r="413">
      <c r="A413" s="3" t="inlineStr">
        <is>
          <t>vs Bournemouth</t>
        </is>
      </c>
      <c r="B413" s="13" t="n">
        <v>29</v>
      </c>
      <c r="C413" s="13" t="n">
        <v>38</v>
      </c>
      <c r="D413" s="13" t="n">
        <v>650</v>
      </c>
      <c r="E413" s="13" t="n">
        <v>396</v>
      </c>
      <c r="F413" s="13" t="n">
        <v>321</v>
      </c>
      <c r="G413" s="13" t="n">
        <v>257</v>
      </c>
      <c r="H413" s="13" t="n">
        <v>72</v>
      </c>
      <c r="I413" s="13" t="n">
        <v>300</v>
      </c>
      <c r="J413" s="13" t="n">
        <v>594</v>
      </c>
      <c r="K413" s="13" t="n">
        <v>50.5</v>
      </c>
      <c r="L413" s="13" t="n">
        <v>294</v>
      </c>
      <c r="M413" s="13" t="n">
        <v>414</v>
      </c>
      <c r="N413" s="13" t="n">
        <v>160</v>
      </c>
      <c r="O413" s="13" t="n">
        <v>254</v>
      </c>
      <c r="P413" s="13" t="n">
        <v>279</v>
      </c>
      <c r="Q413" s="13" t="n">
        <v>929</v>
      </c>
      <c r="R413" s="13" t="n">
        <v>1014</v>
      </c>
      <c r="S413" s="13" t="n">
        <v>50</v>
      </c>
    </row>
    <row r="414">
      <c r="A414" s="3" t="inlineStr">
        <is>
          <t>vs Brentford</t>
        </is>
      </c>
      <c r="B414" s="13" t="n">
        <v>28</v>
      </c>
      <c r="C414" s="13" t="n">
        <v>38</v>
      </c>
      <c r="D414" s="13" t="n">
        <v>593</v>
      </c>
      <c r="E414" s="13" t="n">
        <v>362</v>
      </c>
      <c r="F414" s="13" t="n">
        <v>273</v>
      </c>
      <c r="G414" s="13" t="n">
        <v>217</v>
      </c>
      <c r="H414" s="13" t="n">
        <v>103</v>
      </c>
      <c r="I414" s="13" t="n">
        <v>293</v>
      </c>
      <c r="J414" s="13" t="n">
        <v>558</v>
      </c>
      <c r="K414" s="13" t="n">
        <v>52.5</v>
      </c>
      <c r="L414" s="13" t="n">
        <v>265</v>
      </c>
      <c r="M414" s="13" t="n">
        <v>366</v>
      </c>
      <c r="N414" s="13" t="n">
        <v>106</v>
      </c>
      <c r="O414" s="13" t="n">
        <v>260</v>
      </c>
      <c r="P414" s="13" t="n">
        <v>287</v>
      </c>
      <c r="Q414" s="13" t="n">
        <v>880</v>
      </c>
      <c r="R414" s="13" t="n">
        <v>1036</v>
      </c>
      <c r="S414" s="13" t="n">
        <v>32</v>
      </c>
    </row>
    <row r="415">
      <c r="A415" s="3" t="inlineStr">
        <is>
          <t>vs Brighton</t>
        </is>
      </c>
      <c r="B415" s="13" t="n">
        <v>32</v>
      </c>
      <c r="C415" s="13" t="n">
        <v>38</v>
      </c>
      <c r="D415" s="13" t="n">
        <v>726</v>
      </c>
      <c r="E415" s="13" t="n">
        <v>408</v>
      </c>
      <c r="F415" s="13" t="n">
        <v>370</v>
      </c>
      <c r="G415" s="13" t="n">
        <v>274</v>
      </c>
      <c r="H415" s="13" t="n">
        <v>82</v>
      </c>
      <c r="I415" s="13" t="n">
        <v>382</v>
      </c>
      <c r="J415" s="13" t="n">
        <v>720</v>
      </c>
      <c r="K415" s="13" t="n">
        <v>53.1</v>
      </c>
      <c r="L415" s="13" t="n">
        <v>338</v>
      </c>
      <c r="M415" s="13" t="n">
        <v>409</v>
      </c>
      <c r="N415" s="13" t="n">
        <v>147</v>
      </c>
      <c r="O415" s="13" t="n">
        <v>262</v>
      </c>
      <c r="P415" s="13" t="n">
        <v>320</v>
      </c>
      <c r="Q415" s="13" t="n">
        <v>1046</v>
      </c>
      <c r="R415" s="13" t="n">
        <v>981</v>
      </c>
      <c r="S415" s="13" t="n">
        <v>33</v>
      </c>
    </row>
    <row r="416">
      <c r="A416" s="3" t="inlineStr">
        <is>
          <t>vs Chelsea</t>
        </is>
      </c>
      <c r="B416" s="13" t="n">
        <v>29</v>
      </c>
      <c r="C416" s="13" t="n">
        <v>38</v>
      </c>
      <c r="D416" s="13" t="n">
        <v>633</v>
      </c>
      <c r="E416" s="13" t="n">
        <v>368</v>
      </c>
      <c r="F416" s="13" t="n">
        <v>318</v>
      </c>
      <c r="G416" s="13" t="n">
        <v>241</v>
      </c>
      <c r="H416" s="13" t="n">
        <v>74</v>
      </c>
      <c r="I416" s="13" t="n">
        <v>336</v>
      </c>
      <c r="J416" s="13" t="n">
        <v>662</v>
      </c>
      <c r="K416" s="13" t="n">
        <v>50.8</v>
      </c>
      <c r="L416" s="13" t="n">
        <v>326</v>
      </c>
      <c r="M416" s="13" t="n">
        <v>435</v>
      </c>
      <c r="N416" s="13" t="n">
        <v>172</v>
      </c>
      <c r="O416" s="13" t="n">
        <v>263</v>
      </c>
      <c r="P416" s="13" t="n">
        <v>286</v>
      </c>
      <c r="Q416" s="13" t="n">
        <v>919</v>
      </c>
      <c r="R416" s="13" t="n">
        <v>880</v>
      </c>
      <c r="S416" s="13" t="n">
        <v>42</v>
      </c>
    </row>
    <row r="417" ht="17.1" customHeight="1" s="43">
      <c r="A417" s="3" t="inlineStr">
        <is>
          <t>vs Crystal Palace</t>
        </is>
      </c>
      <c r="B417" s="13" t="n">
        <v>29</v>
      </c>
      <c r="C417" s="13" t="n">
        <v>38</v>
      </c>
      <c r="D417" s="13" t="n">
        <v>580</v>
      </c>
      <c r="E417" s="13" t="n">
        <v>319</v>
      </c>
      <c r="F417" s="13" t="n">
        <v>203</v>
      </c>
      <c r="G417" s="13" t="n">
        <v>264</v>
      </c>
      <c r="H417" s="13" t="n">
        <v>113</v>
      </c>
      <c r="I417" s="13" t="n">
        <v>241</v>
      </c>
      <c r="J417" s="13" t="n">
        <v>450</v>
      </c>
      <c r="K417" s="13" t="n">
        <v>53.6</v>
      </c>
      <c r="L417" s="13" t="n">
        <v>209</v>
      </c>
      <c r="M417" s="13" t="n">
        <v>417</v>
      </c>
      <c r="N417" s="13" t="n">
        <v>145</v>
      </c>
      <c r="O417" s="13" t="n">
        <v>272</v>
      </c>
      <c r="P417" s="13" t="n">
        <v>342</v>
      </c>
      <c r="Q417" s="13" t="n">
        <v>922</v>
      </c>
      <c r="R417" s="13" t="n">
        <v>874</v>
      </c>
      <c r="S417" s="13" t="n">
        <v>35</v>
      </c>
    </row>
    <row r="418">
      <c r="A418" s="3" t="inlineStr">
        <is>
          <t>vs Everton</t>
        </is>
      </c>
      <c r="B418" s="13" t="n">
        <v>26</v>
      </c>
      <c r="C418" s="13" t="n">
        <v>38</v>
      </c>
      <c r="D418" s="13" t="n">
        <v>695</v>
      </c>
      <c r="E418" s="13" t="n">
        <v>424</v>
      </c>
      <c r="F418" s="13" t="n">
        <v>322</v>
      </c>
      <c r="G418" s="13" t="n">
        <v>276</v>
      </c>
      <c r="H418" s="13" t="n">
        <v>97</v>
      </c>
      <c r="I418" s="13" t="n">
        <v>305</v>
      </c>
      <c r="J418" s="13" t="n">
        <v>588</v>
      </c>
      <c r="K418" s="13" t="n">
        <v>51.9</v>
      </c>
      <c r="L418" s="13" t="n">
        <v>283</v>
      </c>
      <c r="M418" s="13" t="n">
        <v>349</v>
      </c>
      <c r="N418" s="13" t="n">
        <v>103</v>
      </c>
      <c r="O418" s="13" t="n">
        <v>246</v>
      </c>
      <c r="P418" s="13" t="n">
        <v>235</v>
      </c>
      <c r="Q418" s="13" t="n">
        <v>930</v>
      </c>
      <c r="R418" s="13" t="n">
        <v>924</v>
      </c>
      <c r="S418" s="13" t="n">
        <v>25</v>
      </c>
    </row>
    <row r="419" ht="18" customHeight="1" s="43">
      <c r="A419" s="3" t="inlineStr">
        <is>
          <t>vs Fulham</t>
        </is>
      </c>
      <c r="B419" s="13" t="n">
        <v>26</v>
      </c>
      <c r="C419" s="13" t="n">
        <v>38</v>
      </c>
      <c r="D419" s="13" t="n">
        <v>535</v>
      </c>
      <c r="E419" s="13" t="n">
        <v>306</v>
      </c>
      <c r="F419" s="13" t="n">
        <v>237</v>
      </c>
      <c r="G419" s="13" t="n">
        <v>226</v>
      </c>
      <c r="H419" s="13" t="n">
        <v>72</v>
      </c>
      <c r="I419" s="13" t="n">
        <v>254</v>
      </c>
      <c r="J419" s="13" t="n">
        <v>542</v>
      </c>
      <c r="K419" s="13" t="n">
        <v>46.9</v>
      </c>
      <c r="L419" s="13" t="n">
        <v>288</v>
      </c>
      <c r="M419" s="13" t="n">
        <v>423</v>
      </c>
      <c r="N419" s="13" t="n">
        <v>148</v>
      </c>
      <c r="O419" s="13" t="n">
        <v>275</v>
      </c>
      <c r="P419" s="13" t="n">
        <v>336</v>
      </c>
      <c r="Q419" s="13" t="n">
        <v>871</v>
      </c>
      <c r="R419" s="13" t="n">
        <v>995</v>
      </c>
      <c r="S419" s="13" t="n">
        <v>27</v>
      </c>
    </row>
    <row r="420" ht="17.1" customHeight="1" s="43">
      <c r="A420" s="3" t="inlineStr">
        <is>
          <t>vs Ipswich Town</t>
        </is>
      </c>
      <c r="B420" s="13" t="n">
        <v>32</v>
      </c>
      <c r="C420" s="13" t="n">
        <v>38</v>
      </c>
      <c r="D420" s="13" t="n">
        <v>637</v>
      </c>
      <c r="E420" s="13" t="n">
        <v>366</v>
      </c>
      <c r="F420" s="13" t="n">
        <v>274</v>
      </c>
      <c r="G420" s="13" t="n">
        <v>260</v>
      </c>
      <c r="H420" s="13" t="n">
        <v>103</v>
      </c>
      <c r="I420" s="13" t="n">
        <v>290</v>
      </c>
      <c r="J420" s="13" t="n">
        <v>567</v>
      </c>
      <c r="K420" s="13" t="n">
        <v>51.1</v>
      </c>
      <c r="L420" s="13" t="n">
        <v>277</v>
      </c>
      <c r="M420" s="13" t="n">
        <v>366</v>
      </c>
      <c r="N420" s="13" t="n">
        <v>110</v>
      </c>
      <c r="O420" s="13" t="n">
        <v>256</v>
      </c>
      <c r="P420" s="13" t="n">
        <v>242</v>
      </c>
      <c r="Q420" s="13" t="n">
        <v>879</v>
      </c>
      <c r="R420" s="13" t="n">
        <v>744</v>
      </c>
      <c r="S420" s="13" t="n">
        <v>23</v>
      </c>
    </row>
    <row r="421">
      <c r="A421" s="3" t="inlineStr">
        <is>
          <t>vs Leicester City</t>
        </is>
      </c>
      <c r="B421" s="13" t="n">
        <v>32</v>
      </c>
      <c r="C421" s="13" t="n">
        <v>38</v>
      </c>
      <c r="D421" s="13" t="n">
        <v>640</v>
      </c>
      <c r="E421" s="13" t="n">
        <v>411</v>
      </c>
      <c r="F421" s="13" t="n">
        <v>223</v>
      </c>
      <c r="G421" s="13" t="n">
        <v>288</v>
      </c>
      <c r="H421" s="13" t="n">
        <v>129</v>
      </c>
      <c r="I421" s="13" t="n">
        <v>304</v>
      </c>
      <c r="J421" s="13" t="n">
        <v>568</v>
      </c>
      <c r="K421" s="13" t="n">
        <v>53.5</v>
      </c>
      <c r="L421" s="13" t="n">
        <v>264</v>
      </c>
      <c r="M421" s="13" t="n">
        <v>355</v>
      </c>
      <c r="N421" s="13" t="n">
        <v>95</v>
      </c>
      <c r="O421" s="13" t="n">
        <v>260</v>
      </c>
      <c r="P421" s="13" t="n">
        <v>269</v>
      </c>
      <c r="Q421" s="13" t="n">
        <v>909</v>
      </c>
      <c r="R421" s="13" t="n">
        <v>807</v>
      </c>
      <c r="S421" s="13" t="n">
        <v>23</v>
      </c>
    </row>
    <row r="422">
      <c r="A422" s="3" t="inlineStr">
        <is>
          <t>vs Liverpool</t>
        </is>
      </c>
      <c r="B422" s="13" t="n">
        <v>24</v>
      </c>
      <c r="C422" s="13" t="n">
        <v>38</v>
      </c>
      <c r="D422" s="13" t="n">
        <v>660</v>
      </c>
      <c r="E422" s="13" t="n">
        <v>402</v>
      </c>
      <c r="F422" s="13" t="n">
        <v>358</v>
      </c>
      <c r="G422" s="13" t="n">
        <v>228</v>
      </c>
      <c r="H422" s="13" t="n">
        <v>74</v>
      </c>
      <c r="I422" s="13" t="n">
        <v>310</v>
      </c>
      <c r="J422" s="13" t="n">
        <v>611</v>
      </c>
      <c r="K422" s="13" t="n">
        <v>50.7</v>
      </c>
      <c r="L422" s="13" t="n">
        <v>301</v>
      </c>
      <c r="M422" s="13" t="n">
        <v>462</v>
      </c>
      <c r="N422" s="13" t="n">
        <v>183</v>
      </c>
      <c r="O422" s="13" t="n">
        <v>279</v>
      </c>
      <c r="P422" s="13" t="n">
        <v>320</v>
      </c>
      <c r="Q422" s="13" t="n">
        <v>980</v>
      </c>
      <c r="R422" s="13" t="n">
        <v>1094</v>
      </c>
      <c r="S422" s="13" t="n">
        <v>42</v>
      </c>
    </row>
    <row r="423" ht="15.75" customHeight="1" s="43">
      <c r="A423" s="3" t="inlineStr">
        <is>
          <t>vs Manchester City</t>
        </is>
      </c>
      <c r="B423" s="13" t="n">
        <v>30</v>
      </c>
      <c r="C423" s="13" t="n">
        <v>38</v>
      </c>
      <c r="D423" s="13" t="n">
        <v>696</v>
      </c>
      <c r="E423" s="13" t="n">
        <v>399</v>
      </c>
      <c r="F423" s="13" t="n">
        <v>418</v>
      </c>
      <c r="G423" s="13" t="n">
        <v>214</v>
      </c>
      <c r="H423" s="13" t="n">
        <v>64</v>
      </c>
      <c r="I423" s="13" t="n">
        <v>301</v>
      </c>
      <c r="J423" s="13" t="n">
        <v>678</v>
      </c>
      <c r="K423" s="13" t="n">
        <v>44.4</v>
      </c>
      <c r="L423" s="13" t="n">
        <v>377</v>
      </c>
      <c r="M423" s="13" t="n">
        <v>462</v>
      </c>
      <c r="N423" s="13" t="n">
        <v>172</v>
      </c>
      <c r="O423" s="13" t="n">
        <v>290</v>
      </c>
      <c r="P423" s="13" t="n">
        <v>310</v>
      </c>
      <c r="Q423" s="13" t="n">
        <v>1006</v>
      </c>
      <c r="R423" s="13" t="n">
        <v>956</v>
      </c>
      <c r="S423" s="13" t="n">
        <v>33</v>
      </c>
    </row>
    <row r="424">
      <c r="A424" s="3" t="inlineStr">
        <is>
          <t>vs Manchester Utd</t>
        </is>
      </c>
      <c r="B424" s="13" t="n">
        <v>31</v>
      </c>
      <c r="C424" s="13" t="n">
        <v>38</v>
      </c>
      <c r="D424" s="13" t="n">
        <v>676</v>
      </c>
      <c r="E424" s="13" t="n">
        <v>414</v>
      </c>
      <c r="F424" s="13" t="n">
        <v>315</v>
      </c>
      <c r="G424" s="13" t="n">
        <v>257</v>
      </c>
      <c r="H424" s="13" t="n">
        <v>104</v>
      </c>
      <c r="I424" s="13" t="n">
        <v>323</v>
      </c>
      <c r="J424" s="13" t="n">
        <v>575</v>
      </c>
      <c r="K424" s="13" t="n">
        <v>56.2</v>
      </c>
      <c r="L424" s="13" t="n">
        <v>252</v>
      </c>
      <c r="M424" s="13" t="n">
        <v>475</v>
      </c>
      <c r="N424" s="13" t="n">
        <v>164</v>
      </c>
      <c r="O424" s="13" t="n">
        <v>311</v>
      </c>
      <c r="P424" s="13" t="n">
        <v>325</v>
      </c>
      <c r="Q424" s="13" t="n">
        <v>1001</v>
      </c>
      <c r="R424" s="13" t="n">
        <v>858</v>
      </c>
      <c r="S424" s="13" t="n">
        <v>20</v>
      </c>
    </row>
    <row r="425" ht="18" customHeight="1" s="43">
      <c r="A425" s="3" t="inlineStr">
        <is>
          <t>vs Newcastle Utd</t>
        </is>
      </c>
      <c r="B425" s="13" t="n">
        <v>24</v>
      </c>
      <c r="C425" s="13" t="n">
        <v>38</v>
      </c>
      <c r="D425" s="13" t="n">
        <v>736</v>
      </c>
      <c r="E425" s="13" t="n">
        <v>433</v>
      </c>
      <c r="F425" s="13" t="n">
        <v>327</v>
      </c>
      <c r="G425" s="13" t="n">
        <v>298</v>
      </c>
      <c r="H425" s="13" t="n">
        <v>111</v>
      </c>
      <c r="I425" s="13" t="n">
        <v>298</v>
      </c>
      <c r="J425" s="13" t="n">
        <v>580</v>
      </c>
      <c r="K425" s="13" t="n">
        <v>51.4</v>
      </c>
      <c r="L425" s="13" t="n">
        <v>282</v>
      </c>
      <c r="M425" s="13" t="n">
        <v>462</v>
      </c>
      <c r="N425" s="13" t="n">
        <v>150</v>
      </c>
      <c r="O425" s="13" t="n">
        <v>312</v>
      </c>
      <c r="P425" s="13" t="n">
        <v>301</v>
      </c>
      <c r="Q425" s="13" t="n">
        <v>1037</v>
      </c>
      <c r="R425" s="13" t="n">
        <v>893</v>
      </c>
      <c r="S425" s="13" t="n">
        <v>44</v>
      </c>
    </row>
    <row r="426" ht="17.1" customHeight="1" s="43">
      <c r="A426" s="3" t="inlineStr">
        <is>
          <t>vs Nott'ham Forest</t>
        </is>
      </c>
      <c r="B426" s="13" t="n">
        <v>23</v>
      </c>
      <c r="C426" s="13" t="n">
        <v>38</v>
      </c>
      <c r="D426" s="13" t="n">
        <v>557</v>
      </c>
      <c r="E426" s="13" t="n">
        <v>365</v>
      </c>
      <c r="F426" s="13" t="n">
        <v>252</v>
      </c>
      <c r="G426" s="13" t="n">
        <v>211</v>
      </c>
      <c r="H426" s="13" t="n">
        <v>94</v>
      </c>
      <c r="I426" s="13" t="n">
        <v>233</v>
      </c>
      <c r="J426" s="13" t="n">
        <v>492</v>
      </c>
      <c r="K426" s="13" t="n">
        <v>47.4</v>
      </c>
      <c r="L426" s="13" t="n">
        <v>259</v>
      </c>
      <c r="M426" s="13" t="n">
        <v>356</v>
      </c>
      <c r="N426" s="13" t="n">
        <v>122</v>
      </c>
      <c r="O426" s="13" t="n">
        <v>234</v>
      </c>
      <c r="P426" s="13" t="n">
        <v>265</v>
      </c>
      <c r="Q426" s="13" t="n">
        <v>822</v>
      </c>
      <c r="R426" s="13" t="n">
        <v>896</v>
      </c>
      <c r="S426" s="13" t="n">
        <v>37</v>
      </c>
    </row>
    <row r="427">
      <c r="A427" s="3" t="inlineStr">
        <is>
          <t>vs Southampton</t>
        </is>
      </c>
      <c r="B427" s="13" t="n">
        <v>36</v>
      </c>
      <c r="C427" s="13" t="n">
        <v>38</v>
      </c>
      <c r="D427" s="13" t="n">
        <v>688</v>
      </c>
      <c r="E427" s="13" t="n">
        <v>405</v>
      </c>
      <c r="F427" s="13" t="n">
        <v>257</v>
      </c>
      <c r="G427" s="13" t="n">
        <v>294</v>
      </c>
      <c r="H427" s="13" t="n">
        <v>137</v>
      </c>
      <c r="I427" s="13" t="n">
        <v>333</v>
      </c>
      <c r="J427" s="13" t="n">
        <v>645</v>
      </c>
      <c r="K427" s="13" t="n">
        <v>51.6</v>
      </c>
      <c r="L427" s="13" t="n">
        <v>312</v>
      </c>
      <c r="M427" s="13" t="n">
        <v>359</v>
      </c>
      <c r="N427" s="13" t="n">
        <v>124</v>
      </c>
      <c r="O427" s="13" t="n">
        <v>235</v>
      </c>
      <c r="P427" s="13" t="n">
        <v>311</v>
      </c>
      <c r="Q427" s="13" t="n">
        <v>999</v>
      </c>
      <c r="R427" s="13" t="n">
        <v>753</v>
      </c>
      <c r="S427" s="13" t="n">
        <v>11</v>
      </c>
    </row>
    <row r="428">
      <c r="A428" s="3" t="inlineStr">
        <is>
          <t>vs Tottenham</t>
        </is>
      </c>
      <c r="B428" s="13" t="n">
        <v>31</v>
      </c>
      <c r="C428" s="13" t="n">
        <v>38</v>
      </c>
      <c r="D428" s="13" t="n">
        <v>851</v>
      </c>
      <c r="E428" s="13" t="n">
        <v>548</v>
      </c>
      <c r="F428" s="13" t="n">
        <v>402</v>
      </c>
      <c r="G428" s="13" t="n">
        <v>336</v>
      </c>
      <c r="H428" s="13" t="n">
        <v>113</v>
      </c>
      <c r="I428" s="13" t="n">
        <v>425</v>
      </c>
      <c r="J428" s="13" t="n">
        <v>733</v>
      </c>
      <c r="K428" s="13" t="n">
        <v>58</v>
      </c>
      <c r="L428" s="13" t="n">
        <v>308</v>
      </c>
      <c r="M428" s="13" t="n">
        <v>509</v>
      </c>
      <c r="N428" s="13" t="n">
        <v>137</v>
      </c>
      <c r="O428" s="13" t="n">
        <v>372</v>
      </c>
      <c r="P428" s="13" t="n">
        <v>391</v>
      </c>
      <c r="Q428" s="13" t="n">
        <v>1242</v>
      </c>
      <c r="R428" s="13" t="n">
        <v>903</v>
      </c>
      <c r="S428" s="13" t="n">
        <v>36</v>
      </c>
    </row>
    <row r="429" ht="15.75" customHeight="1" s="43">
      <c r="A429" s="3" t="inlineStr">
        <is>
          <t>vs West Ham</t>
        </is>
      </c>
      <c r="B429" s="13" t="n">
        <v>27</v>
      </c>
      <c r="C429" s="13" t="n">
        <v>38</v>
      </c>
      <c r="D429" s="13" t="n">
        <v>752</v>
      </c>
      <c r="E429" s="13" t="n">
        <v>435</v>
      </c>
      <c r="F429" s="13" t="n">
        <v>322</v>
      </c>
      <c r="G429" s="13" t="n">
        <v>310</v>
      </c>
      <c r="H429" s="13" t="n">
        <v>120</v>
      </c>
      <c r="I429" s="13" t="n">
        <v>360</v>
      </c>
      <c r="J429" s="13" t="n">
        <v>707</v>
      </c>
      <c r="K429" s="13" t="n">
        <v>50.9</v>
      </c>
      <c r="L429" s="13" t="n">
        <v>347</v>
      </c>
      <c r="M429" s="13" t="n">
        <v>431</v>
      </c>
      <c r="N429" s="13" t="n">
        <v>144</v>
      </c>
      <c r="O429" s="13" t="n">
        <v>287</v>
      </c>
      <c r="P429" s="13" t="n">
        <v>298</v>
      </c>
      <c r="Q429" s="13" t="n">
        <v>1050</v>
      </c>
      <c r="R429" s="13" t="n">
        <v>836</v>
      </c>
      <c r="S429" s="13" t="n">
        <v>23</v>
      </c>
    </row>
    <row r="430">
      <c r="A430" s="3" t="inlineStr">
        <is>
          <t>vs Wolves</t>
        </is>
      </c>
      <c r="B430" s="13" t="n">
        <v>32</v>
      </c>
      <c r="C430" s="13" t="n">
        <v>38</v>
      </c>
      <c r="D430" s="13" t="n">
        <v>684</v>
      </c>
      <c r="E430" s="13" t="n">
        <v>422</v>
      </c>
      <c r="F430" s="13" t="n">
        <v>277</v>
      </c>
      <c r="G430" s="13" t="n">
        <v>300</v>
      </c>
      <c r="H430" s="13" t="n">
        <v>107</v>
      </c>
      <c r="I430" s="13" t="n">
        <v>315</v>
      </c>
      <c r="J430" s="13" t="n">
        <v>639</v>
      </c>
      <c r="K430" s="13" t="n">
        <v>49.3</v>
      </c>
      <c r="L430" s="13" t="n">
        <v>324</v>
      </c>
      <c r="M430" s="13" t="n">
        <v>392</v>
      </c>
      <c r="N430" s="13" t="n">
        <v>110</v>
      </c>
      <c r="O430" s="13" t="n">
        <v>282</v>
      </c>
      <c r="P430" s="13" t="n">
        <v>308</v>
      </c>
      <c r="Q430" s="13" t="n">
        <v>992</v>
      </c>
      <c r="R430" s="13" t="n">
        <v>805</v>
      </c>
      <c r="S430" s="13" t="n">
        <v>38</v>
      </c>
    </row>
    <row r="432">
      <c r="A432" s="45" t="inlineStr">
        <is>
          <t>Squad Possession 2024-2025 Premier League Table</t>
        </is>
      </c>
    </row>
    <row r="433" ht="17.1" customHeight="1" s="43">
      <c r="A433" s="44" t="n"/>
      <c r="E433" s="44" t="inlineStr">
        <is>
          <t>Touches</t>
        </is>
      </c>
      <c r="L433" s="44" t="inlineStr">
        <is>
          <t>Take-Ons</t>
        </is>
      </c>
      <c r="Q433" s="44" t="inlineStr">
        <is>
          <t>Carries</t>
        </is>
      </c>
      <c r="Y433" s="44" t="inlineStr">
        <is>
          <t>Receiving</t>
        </is>
      </c>
    </row>
    <row r="434">
      <c r="A434" s="44" t="inlineStr">
        <is>
          <t>Squad</t>
        </is>
      </c>
      <c r="B434" s="44" t="inlineStr">
        <is>
          <t># Pl</t>
        </is>
      </c>
      <c r="C434" s="44" t="inlineStr">
        <is>
          <t>Poss</t>
        </is>
      </c>
      <c r="D434" s="44" t="inlineStr">
        <is>
          <t>90s</t>
        </is>
      </c>
      <c r="E434" s="44" t="inlineStr">
        <is>
          <t>Touches</t>
        </is>
      </c>
      <c r="F434" s="44" t="inlineStr">
        <is>
          <t>Def Pen</t>
        </is>
      </c>
      <c r="G434" s="44" t="inlineStr">
        <is>
          <t>Def 3rd</t>
        </is>
      </c>
      <c r="H434" s="44" t="inlineStr">
        <is>
          <t>Mid 3rd</t>
        </is>
      </c>
      <c r="I434" s="44" t="inlineStr">
        <is>
          <t>Att 3rd</t>
        </is>
      </c>
      <c r="J434" s="44" t="inlineStr">
        <is>
          <t>Att Pen</t>
        </is>
      </c>
      <c r="K434" s="44" t="inlineStr">
        <is>
          <t>Live</t>
        </is>
      </c>
      <c r="L434" s="44" t="inlineStr">
        <is>
          <t>Att</t>
        </is>
      </c>
      <c r="M434" s="44" t="inlineStr">
        <is>
          <t>Succ</t>
        </is>
      </c>
      <c r="N434" s="44" t="inlineStr">
        <is>
          <t>Succ%</t>
        </is>
      </c>
      <c r="O434" s="44" t="inlineStr">
        <is>
          <t>Tkld</t>
        </is>
      </c>
      <c r="P434" s="44" t="inlineStr">
        <is>
          <t>Tkld%</t>
        </is>
      </c>
      <c r="Q434" s="44" t="inlineStr">
        <is>
          <t>Carries</t>
        </is>
      </c>
      <c r="R434" s="44" t="inlineStr">
        <is>
          <t>TotDist</t>
        </is>
      </c>
      <c r="S434" s="44" t="inlineStr">
        <is>
          <t>PrgDist</t>
        </is>
      </c>
      <c r="T434" s="44" t="inlineStr">
        <is>
          <t>PrgC</t>
        </is>
      </c>
      <c r="U434" s="44" t="inlineStr">
        <is>
          <t>1/3</t>
        </is>
      </c>
      <c r="V434" s="44" t="inlineStr">
        <is>
          <t>CPA</t>
        </is>
      </c>
      <c r="W434" s="44" t="inlineStr">
        <is>
          <t>Mis</t>
        </is>
      </c>
      <c r="X434" s="44" t="inlineStr">
        <is>
          <t>Dis</t>
        </is>
      </c>
      <c r="Y434" s="44" t="inlineStr">
        <is>
          <t>Rec</t>
        </is>
      </c>
      <c r="Z434" s="44" t="inlineStr">
        <is>
          <t>PrgR</t>
        </is>
      </c>
    </row>
    <row r="435">
      <c r="A435" s="3" t="inlineStr">
        <is>
          <t>Arsenal</t>
        </is>
      </c>
      <c r="B435" s="13" t="n">
        <v>25</v>
      </c>
      <c r="C435" s="13" t="n">
        <v>56.9</v>
      </c>
      <c r="D435" s="13" t="n">
        <v>38</v>
      </c>
      <c r="E435" s="13" t="n">
        <v>24056</v>
      </c>
      <c r="F435" s="13" t="n">
        <v>1844</v>
      </c>
      <c r="G435" s="13" t="n">
        <v>6064</v>
      </c>
      <c r="H435" s="13" t="n">
        <v>10362</v>
      </c>
      <c r="I435" s="13" t="n">
        <v>7808</v>
      </c>
      <c r="J435" s="13" t="n">
        <v>1282</v>
      </c>
      <c r="K435" s="13" t="n">
        <v>24054</v>
      </c>
      <c r="L435" s="13" t="n">
        <v>726</v>
      </c>
      <c r="M435" s="13" t="n">
        <v>320</v>
      </c>
      <c r="N435" s="13" t="n">
        <v>44.1</v>
      </c>
      <c r="O435" s="13" t="n">
        <v>316</v>
      </c>
      <c r="P435" s="13" t="n">
        <v>43.5</v>
      </c>
      <c r="Q435" s="13" t="n">
        <v>14234</v>
      </c>
      <c r="R435" s="13" t="n">
        <v>75544</v>
      </c>
      <c r="S435" s="13" t="n">
        <v>40246</v>
      </c>
      <c r="T435" s="13" t="n">
        <v>852</v>
      </c>
      <c r="U435" s="13" t="n">
        <v>540</v>
      </c>
      <c r="V435" s="13" t="n">
        <v>286</v>
      </c>
      <c r="W435" s="13" t="n">
        <v>483</v>
      </c>
      <c r="X435" s="13" t="n">
        <v>382</v>
      </c>
      <c r="Y435" s="13" t="n">
        <v>16894</v>
      </c>
      <c r="Z435" s="13" t="n">
        <v>1801</v>
      </c>
    </row>
    <row r="436">
      <c r="A436" s="3" t="inlineStr">
        <is>
          <t>Aston Villa</t>
        </is>
      </c>
      <c r="B436" s="13" t="n">
        <v>28</v>
      </c>
      <c r="C436" s="13" t="n">
        <v>50.5</v>
      </c>
      <c r="D436" s="13" t="n">
        <v>38</v>
      </c>
      <c r="E436" s="13" t="n">
        <v>21699</v>
      </c>
      <c r="F436" s="13" t="n">
        <v>2646</v>
      </c>
      <c r="G436" s="13" t="n">
        <v>7301</v>
      </c>
      <c r="H436" s="13" t="n">
        <v>9257</v>
      </c>
      <c r="I436" s="13" t="n">
        <v>5362</v>
      </c>
      <c r="J436" s="13" t="n">
        <v>951</v>
      </c>
      <c r="K436" s="13" t="n">
        <v>21693</v>
      </c>
      <c r="L436" s="13" t="n">
        <v>726</v>
      </c>
      <c r="M436" s="13" t="n">
        <v>327</v>
      </c>
      <c r="N436" s="13" t="n">
        <v>45</v>
      </c>
      <c r="O436" s="13" t="n">
        <v>299</v>
      </c>
      <c r="P436" s="13" t="n">
        <v>41.2</v>
      </c>
      <c r="Q436" s="13" t="n">
        <v>12334</v>
      </c>
      <c r="R436" s="13" t="n">
        <v>68906</v>
      </c>
      <c r="S436" s="13" t="n">
        <v>36242</v>
      </c>
      <c r="T436" s="13" t="n">
        <v>720</v>
      </c>
      <c r="U436" s="13" t="n">
        <v>448</v>
      </c>
      <c r="V436" s="13" t="n">
        <v>212</v>
      </c>
      <c r="W436" s="13" t="n">
        <v>508</v>
      </c>
      <c r="X436" s="13" t="n">
        <v>386</v>
      </c>
      <c r="Y436" s="13" t="n">
        <v>14423</v>
      </c>
      <c r="Z436" s="13" t="n">
        <v>1331</v>
      </c>
    </row>
    <row r="437">
      <c r="A437" s="3" t="inlineStr">
        <is>
          <t>Bournemouth</t>
        </is>
      </c>
      <c r="B437" s="13" t="n">
        <v>29</v>
      </c>
      <c r="C437" s="13" t="n">
        <v>48.5</v>
      </c>
      <c r="D437" s="13" t="n">
        <v>38</v>
      </c>
      <c r="E437" s="13" t="n">
        <v>21618</v>
      </c>
      <c r="F437" s="13" t="n">
        <v>2217</v>
      </c>
      <c r="G437" s="13" t="n">
        <v>6444</v>
      </c>
      <c r="H437" s="13" t="n">
        <v>9314</v>
      </c>
      <c r="I437" s="13" t="n">
        <v>6128</v>
      </c>
      <c r="J437" s="13" t="n">
        <v>1005</v>
      </c>
      <c r="K437" s="13" t="n">
        <v>21611</v>
      </c>
      <c r="L437" s="13" t="n">
        <v>672</v>
      </c>
      <c r="M437" s="13" t="n">
        <v>294</v>
      </c>
      <c r="N437" s="13" t="n">
        <v>43.8</v>
      </c>
      <c r="O437" s="13" t="n">
        <v>300</v>
      </c>
      <c r="P437" s="13" t="n">
        <v>44.6</v>
      </c>
      <c r="Q437" s="13" t="n">
        <v>11733</v>
      </c>
      <c r="R437" s="13" t="n">
        <v>69030</v>
      </c>
      <c r="S437" s="13" t="n">
        <v>36709</v>
      </c>
      <c r="T437" s="13" t="n">
        <v>754</v>
      </c>
      <c r="U437" s="13" t="n">
        <v>534</v>
      </c>
      <c r="V437" s="13" t="n">
        <v>228</v>
      </c>
      <c r="W437" s="13" t="n">
        <v>597</v>
      </c>
      <c r="X437" s="13" t="n">
        <v>350</v>
      </c>
      <c r="Y437" s="13" t="n">
        <v>12855</v>
      </c>
      <c r="Z437" s="13" t="n">
        <v>1474</v>
      </c>
    </row>
    <row r="438">
      <c r="A438" s="3" t="inlineStr">
        <is>
          <t>Brentford</t>
        </is>
      </c>
      <c r="B438" s="13" t="n">
        <v>28</v>
      </c>
      <c r="C438" s="13" t="n">
        <v>47.9</v>
      </c>
      <c r="D438" s="13" t="n">
        <v>38</v>
      </c>
      <c r="E438" s="13" t="n">
        <v>21491</v>
      </c>
      <c r="F438" s="13" t="n">
        <v>3282</v>
      </c>
      <c r="G438" s="13" t="n">
        <v>8328</v>
      </c>
      <c r="H438" s="13" t="n">
        <v>8055</v>
      </c>
      <c r="I438" s="13" t="n">
        <v>5310</v>
      </c>
      <c r="J438" s="13" t="n">
        <v>987</v>
      </c>
      <c r="K438" s="13" t="n">
        <v>21485</v>
      </c>
      <c r="L438" s="13" t="n">
        <v>627</v>
      </c>
      <c r="M438" s="13" t="n">
        <v>265</v>
      </c>
      <c r="N438" s="13" t="n">
        <v>42.3</v>
      </c>
      <c r="O438" s="13" t="n">
        <v>293</v>
      </c>
      <c r="P438" s="13" t="n">
        <v>46.7</v>
      </c>
      <c r="Q438" s="13" t="n">
        <v>11412</v>
      </c>
      <c r="R438" s="13" t="n">
        <v>61938</v>
      </c>
      <c r="S438" s="13" t="n">
        <v>31661</v>
      </c>
      <c r="T438" s="13" t="n">
        <v>598</v>
      </c>
      <c r="U438" s="13" t="n">
        <v>380</v>
      </c>
      <c r="V438" s="13" t="n">
        <v>213</v>
      </c>
      <c r="W438" s="13" t="n">
        <v>549</v>
      </c>
      <c r="X438" s="13" t="n">
        <v>300</v>
      </c>
      <c r="Y438" s="13" t="n">
        <v>13153</v>
      </c>
      <c r="Z438" s="13" t="n">
        <v>1339</v>
      </c>
    </row>
    <row r="439">
      <c r="A439" s="3" t="inlineStr">
        <is>
          <t>Brighton</t>
        </is>
      </c>
      <c r="B439" s="13" t="n">
        <v>32</v>
      </c>
      <c r="C439" s="13" t="n">
        <v>52.3</v>
      </c>
      <c r="D439" s="13" t="n">
        <v>38</v>
      </c>
      <c r="E439" s="13" t="n">
        <v>23677</v>
      </c>
      <c r="F439" s="13" t="n">
        <v>2601</v>
      </c>
      <c r="G439" s="13" t="n">
        <v>7503</v>
      </c>
      <c r="H439" s="13" t="n">
        <v>10292</v>
      </c>
      <c r="I439" s="13" t="n">
        <v>6153</v>
      </c>
      <c r="J439" s="13" t="n">
        <v>1085</v>
      </c>
      <c r="K439" s="13" t="n">
        <v>23670</v>
      </c>
      <c r="L439" s="13" t="n">
        <v>797</v>
      </c>
      <c r="M439" s="13" t="n">
        <v>338</v>
      </c>
      <c r="N439" s="13" t="n">
        <v>42.4</v>
      </c>
      <c r="O439" s="13" t="n">
        <v>382</v>
      </c>
      <c r="P439" s="13" t="n">
        <v>47.9</v>
      </c>
      <c r="Q439" s="13" t="n">
        <v>13919</v>
      </c>
      <c r="R439" s="13" t="n">
        <v>76882</v>
      </c>
      <c r="S439" s="13" t="n">
        <v>41746</v>
      </c>
      <c r="T439" s="13" t="n">
        <v>816</v>
      </c>
      <c r="U439" s="13" t="n">
        <v>576</v>
      </c>
      <c r="V439" s="13" t="n">
        <v>263</v>
      </c>
      <c r="W439" s="13" t="n">
        <v>583</v>
      </c>
      <c r="X439" s="13" t="n">
        <v>344</v>
      </c>
      <c r="Y439" s="13" t="n">
        <v>15637</v>
      </c>
      <c r="Z439" s="13" t="n">
        <v>1522</v>
      </c>
    </row>
    <row r="440">
      <c r="A440" s="3" t="inlineStr">
        <is>
          <t>Chelsea</t>
        </is>
      </c>
      <c r="B440" s="13" t="n">
        <v>29</v>
      </c>
      <c r="C440" s="13" t="n">
        <v>57.1</v>
      </c>
      <c r="D440" s="13" t="n">
        <v>38</v>
      </c>
      <c r="E440" s="13" t="n">
        <v>25217</v>
      </c>
      <c r="F440" s="13" t="n">
        <v>2410</v>
      </c>
      <c r="G440" s="13" t="n">
        <v>7564</v>
      </c>
      <c r="H440" s="13" t="n">
        <v>11375</v>
      </c>
      <c r="I440" s="13" t="n">
        <v>6497</v>
      </c>
      <c r="J440" s="13" t="n">
        <v>1115</v>
      </c>
      <c r="K440" s="13" t="n">
        <v>25212</v>
      </c>
      <c r="L440" s="13" t="n">
        <v>783</v>
      </c>
      <c r="M440" s="13" t="n">
        <v>326</v>
      </c>
      <c r="N440" s="13" t="n">
        <v>41.6</v>
      </c>
      <c r="O440" s="13" t="n">
        <v>336</v>
      </c>
      <c r="P440" s="13" t="n">
        <v>42.9</v>
      </c>
      <c r="Q440" s="13" t="n">
        <v>14501</v>
      </c>
      <c r="R440" s="13" t="n">
        <v>78314</v>
      </c>
      <c r="S440" s="13" t="n">
        <v>41394</v>
      </c>
      <c r="T440" s="13" t="n">
        <v>861</v>
      </c>
      <c r="U440" s="13" t="n">
        <v>493</v>
      </c>
      <c r="V440" s="13" t="n">
        <v>317</v>
      </c>
      <c r="W440" s="13" t="n">
        <v>466</v>
      </c>
      <c r="X440" s="13" t="n">
        <v>297</v>
      </c>
      <c r="Y440" s="13" t="n">
        <v>17888</v>
      </c>
      <c r="Z440" s="13" t="n">
        <v>1576</v>
      </c>
    </row>
    <row r="441" ht="17.1" customHeight="1" s="43">
      <c r="A441" s="3" t="inlineStr">
        <is>
          <t>Crystal Palace</t>
        </is>
      </c>
      <c r="B441" s="13" t="n">
        <v>29</v>
      </c>
      <c r="C441" s="13" t="n">
        <v>42.8</v>
      </c>
      <c r="D441" s="13" t="n">
        <v>38</v>
      </c>
      <c r="E441" s="13" t="n">
        <v>20389</v>
      </c>
      <c r="F441" s="13" t="n">
        <v>2570</v>
      </c>
      <c r="G441" s="13" t="n">
        <v>7689</v>
      </c>
      <c r="H441" s="13" t="n">
        <v>8441</v>
      </c>
      <c r="I441" s="13" t="n">
        <v>4456</v>
      </c>
      <c r="J441" s="13" t="n">
        <v>797</v>
      </c>
      <c r="K441" s="13" t="n">
        <v>20385</v>
      </c>
      <c r="L441" s="13" t="n">
        <v>500</v>
      </c>
      <c r="M441" s="13" t="n">
        <v>209</v>
      </c>
      <c r="N441" s="13" t="n">
        <v>41.8</v>
      </c>
      <c r="O441" s="13" t="n">
        <v>241</v>
      </c>
      <c r="P441" s="13" t="n">
        <v>48.2</v>
      </c>
      <c r="Q441" s="13" t="n">
        <v>10275</v>
      </c>
      <c r="R441" s="13" t="n">
        <v>51887</v>
      </c>
      <c r="S441" s="13" t="n">
        <v>25304</v>
      </c>
      <c r="T441" s="13" t="n">
        <v>510</v>
      </c>
      <c r="U441" s="13" t="n">
        <v>354</v>
      </c>
      <c r="V441" s="13" t="n">
        <v>126</v>
      </c>
      <c r="W441" s="13" t="n">
        <v>491</v>
      </c>
      <c r="X441" s="13" t="n">
        <v>339</v>
      </c>
      <c r="Y441" s="13" t="n">
        <v>11783</v>
      </c>
      <c r="Z441" s="13" t="n">
        <v>1140</v>
      </c>
    </row>
    <row r="442" ht="17.1" customHeight="1" s="43">
      <c r="A442" s="3" t="inlineStr">
        <is>
          <t>Everton</t>
        </is>
      </c>
      <c r="B442" s="13" t="n">
        <v>26</v>
      </c>
      <c r="C442" s="13" t="n">
        <v>40.9</v>
      </c>
      <c r="D442" s="13" t="n">
        <v>38</v>
      </c>
      <c r="E442" s="13" t="n">
        <v>19408</v>
      </c>
      <c r="F442" s="13" t="n">
        <v>2462</v>
      </c>
      <c r="G442" s="13" t="n">
        <v>6930</v>
      </c>
      <c r="H442" s="13" t="n">
        <v>7927</v>
      </c>
      <c r="I442" s="13" t="n">
        <v>4762</v>
      </c>
      <c r="J442" s="13" t="n">
        <v>732</v>
      </c>
      <c r="K442" s="13" t="n">
        <v>19406</v>
      </c>
      <c r="L442" s="13" t="n">
        <v>636</v>
      </c>
      <c r="M442" s="13" t="n">
        <v>283</v>
      </c>
      <c r="N442" s="13" t="n">
        <v>44.5</v>
      </c>
      <c r="O442" s="13" t="n">
        <v>305</v>
      </c>
      <c r="P442" s="13" t="n">
        <v>48</v>
      </c>
      <c r="Q442" s="13" t="n">
        <v>9535</v>
      </c>
      <c r="R442" s="13" t="n">
        <v>51039</v>
      </c>
      <c r="S442" s="13" t="n">
        <v>25414</v>
      </c>
      <c r="T442" s="13" t="n">
        <v>486</v>
      </c>
      <c r="U442" s="13" t="n">
        <v>364</v>
      </c>
      <c r="V442" s="13" t="n">
        <v>119</v>
      </c>
      <c r="W442" s="13" t="n">
        <v>525</v>
      </c>
      <c r="X442" s="13" t="n">
        <v>390</v>
      </c>
      <c r="Y442" s="13" t="n">
        <v>11309</v>
      </c>
      <c r="Z442" s="13" t="n">
        <v>1023</v>
      </c>
    </row>
    <row r="443">
      <c r="A443" s="3" t="inlineStr">
        <is>
          <t>Fulham</t>
        </is>
      </c>
      <c r="B443" s="13" t="n">
        <v>26</v>
      </c>
      <c r="C443" s="13" t="n">
        <v>52.3</v>
      </c>
      <c r="D443" s="13" t="n">
        <v>38</v>
      </c>
      <c r="E443" s="13" t="n">
        <v>23926</v>
      </c>
      <c r="F443" s="13" t="n">
        <v>2641</v>
      </c>
      <c r="G443" s="13" t="n">
        <v>8095</v>
      </c>
      <c r="H443" s="13" t="n">
        <v>9787</v>
      </c>
      <c r="I443" s="13" t="n">
        <v>6287</v>
      </c>
      <c r="J443" s="13" t="n">
        <v>954</v>
      </c>
      <c r="K443" s="13" t="n">
        <v>23922</v>
      </c>
      <c r="L443" s="13" t="n">
        <v>637</v>
      </c>
      <c r="M443" s="13" t="n">
        <v>288</v>
      </c>
      <c r="N443" s="13" t="n">
        <v>45.2</v>
      </c>
      <c r="O443" s="13" t="n">
        <v>254</v>
      </c>
      <c r="P443" s="13" t="n">
        <v>39.9</v>
      </c>
      <c r="Q443" s="13" t="n">
        <v>14026</v>
      </c>
      <c r="R443" s="13" t="n">
        <v>73723</v>
      </c>
      <c r="S443" s="13" t="n">
        <v>38440</v>
      </c>
      <c r="T443" s="13" t="n">
        <v>786</v>
      </c>
      <c r="U443" s="13" t="n">
        <v>544</v>
      </c>
      <c r="V443" s="13" t="n">
        <v>213</v>
      </c>
      <c r="W443" s="13" t="n">
        <v>515</v>
      </c>
      <c r="X443" s="13" t="n">
        <v>281</v>
      </c>
      <c r="Y443" s="13" t="n">
        <v>16043</v>
      </c>
      <c r="Z443" s="13" t="n">
        <v>1544</v>
      </c>
    </row>
    <row r="444">
      <c r="A444" s="3" t="inlineStr">
        <is>
          <t>Ipswich Town</t>
        </is>
      </c>
      <c r="B444" s="13" t="n">
        <v>32</v>
      </c>
      <c r="C444" s="13" t="n">
        <v>40.6</v>
      </c>
      <c r="D444" s="13" t="n">
        <v>38</v>
      </c>
      <c r="E444" s="13" t="n">
        <v>19091</v>
      </c>
      <c r="F444" s="13" t="n">
        <v>3012</v>
      </c>
      <c r="G444" s="13" t="n">
        <v>7764</v>
      </c>
      <c r="H444" s="13" t="n">
        <v>7504</v>
      </c>
      <c r="I444" s="13" t="n">
        <v>4032</v>
      </c>
      <c r="J444" s="13" t="n">
        <v>605</v>
      </c>
      <c r="K444" s="13" t="n">
        <v>19089</v>
      </c>
      <c r="L444" s="13" t="n">
        <v>643</v>
      </c>
      <c r="M444" s="13" t="n">
        <v>277</v>
      </c>
      <c r="N444" s="13" t="n">
        <v>43.1</v>
      </c>
      <c r="O444" s="13" t="n">
        <v>290</v>
      </c>
      <c r="P444" s="13" t="n">
        <v>45.1</v>
      </c>
      <c r="Q444" s="13" t="n">
        <v>9384</v>
      </c>
      <c r="R444" s="13" t="n">
        <v>53235</v>
      </c>
      <c r="S444" s="13" t="n">
        <v>26144</v>
      </c>
      <c r="T444" s="13" t="n">
        <v>513</v>
      </c>
      <c r="U444" s="13" t="n">
        <v>330</v>
      </c>
      <c r="V444" s="13" t="n">
        <v>150</v>
      </c>
      <c r="W444" s="13" t="n">
        <v>538</v>
      </c>
      <c r="X444" s="13" t="n">
        <v>347</v>
      </c>
      <c r="Y444" s="13" t="n">
        <v>11405</v>
      </c>
      <c r="Z444" s="13" t="n">
        <v>920</v>
      </c>
    </row>
    <row r="445" ht="15.75" customHeight="1" s="43">
      <c r="A445" s="3" t="inlineStr">
        <is>
          <t>Leicester City</t>
        </is>
      </c>
      <c r="B445" s="13" t="n">
        <v>32</v>
      </c>
      <c r="C445" s="13" t="n">
        <v>45.4</v>
      </c>
      <c r="D445" s="13" t="n">
        <v>38</v>
      </c>
      <c r="E445" s="13" t="n">
        <v>21748</v>
      </c>
      <c r="F445" s="13" t="n">
        <v>2881</v>
      </c>
      <c r="G445" s="13" t="n">
        <v>8066</v>
      </c>
      <c r="H445" s="13" t="n">
        <v>9845</v>
      </c>
      <c r="I445" s="13" t="n">
        <v>4048</v>
      </c>
      <c r="J445" s="13" t="n">
        <v>632</v>
      </c>
      <c r="K445" s="13" t="n">
        <v>21745</v>
      </c>
      <c r="L445" s="13" t="n">
        <v>638</v>
      </c>
      <c r="M445" s="13" t="n">
        <v>264</v>
      </c>
      <c r="N445" s="13" t="n">
        <v>41.4</v>
      </c>
      <c r="O445" s="13" t="n">
        <v>304</v>
      </c>
      <c r="P445" s="13" t="n">
        <v>47.6</v>
      </c>
      <c r="Q445" s="13" t="n">
        <v>12276</v>
      </c>
      <c r="R445" s="13" t="n">
        <v>61780</v>
      </c>
      <c r="S445" s="13" t="n">
        <v>30421</v>
      </c>
      <c r="T445" s="13" t="n">
        <v>576</v>
      </c>
      <c r="U445" s="13" t="n">
        <v>365</v>
      </c>
      <c r="V445" s="13" t="n">
        <v>143</v>
      </c>
      <c r="W445" s="13" t="n">
        <v>500</v>
      </c>
      <c r="X445" s="13" t="n">
        <v>336</v>
      </c>
      <c r="Y445" s="13" t="n">
        <v>13828</v>
      </c>
      <c r="Z445" s="13" t="n">
        <v>1072</v>
      </c>
    </row>
    <row r="446">
      <c r="A446" s="3" t="inlineStr">
        <is>
          <t>Liverpool</t>
        </is>
      </c>
      <c r="B446" s="13" t="n">
        <v>24</v>
      </c>
      <c r="C446" s="13" t="n">
        <v>57.7</v>
      </c>
      <c r="D446" s="13" t="n">
        <v>38</v>
      </c>
      <c r="E446" s="13" t="n">
        <v>25905</v>
      </c>
      <c r="F446" s="13" t="n">
        <v>2422</v>
      </c>
      <c r="G446" s="13" t="n">
        <v>7286</v>
      </c>
      <c r="H446" s="13" t="n">
        <v>11574</v>
      </c>
      <c r="I446" s="13" t="n">
        <v>7274</v>
      </c>
      <c r="J446" s="13" t="n">
        <v>1315</v>
      </c>
      <c r="K446" s="13" t="n">
        <v>25896</v>
      </c>
      <c r="L446" s="13" t="n">
        <v>677</v>
      </c>
      <c r="M446" s="13" t="n">
        <v>301</v>
      </c>
      <c r="N446" s="13" t="n">
        <v>44.5</v>
      </c>
      <c r="O446" s="13" t="n">
        <v>310</v>
      </c>
      <c r="P446" s="13" t="n">
        <v>45.8</v>
      </c>
      <c r="Q446" s="13" t="n">
        <v>14931</v>
      </c>
      <c r="R446" s="13" t="n">
        <v>76219</v>
      </c>
      <c r="S446" s="13" t="n">
        <v>41047</v>
      </c>
      <c r="T446" s="13" t="n">
        <v>825</v>
      </c>
      <c r="U446" s="13" t="n">
        <v>558</v>
      </c>
      <c r="V446" s="13" t="n">
        <v>322</v>
      </c>
      <c r="W446" s="13" t="n">
        <v>532</v>
      </c>
      <c r="X446" s="13" t="n">
        <v>350</v>
      </c>
      <c r="Y446" s="13" t="n">
        <v>18113</v>
      </c>
      <c r="Z446" s="13" t="n">
        <v>1910</v>
      </c>
    </row>
    <row r="447" ht="18" customHeight="1" s="43">
      <c r="A447" s="3" t="inlineStr">
        <is>
          <t>Manchester City</t>
        </is>
      </c>
      <c r="B447" s="13" t="n">
        <v>30</v>
      </c>
      <c r="C447" s="13" t="n">
        <v>61.3</v>
      </c>
      <c r="D447" s="13" t="n">
        <v>38</v>
      </c>
      <c r="E447" s="13" t="n">
        <v>28103</v>
      </c>
      <c r="F447" s="13" t="n">
        <v>2092</v>
      </c>
      <c r="G447" s="13" t="n">
        <v>6503</v>
      </c>
      <c r="H447" s="13" t="n">
        <v>12076</v>
      </c>
      <c r="I447" s="13" t="n">
        <v>9753</v>
      </c>
      <c r="J447" s="13" t="n">
        <v>1348</v>
      </c>
      <c r="K447" s="13" t="n">
        <v>28099</v>
      </c>
      <c r="L447" s="13" t="n">
        <v>799</v>
      </c>
      <c r="M447" s="13" t="n">
        <v>377</v>
      </c>
      <c r="N447" s="13" t="n">
        <v>47.2</v>
      </c>
      <c r="O447" s="13" t="n">
        <v>301</v>
      </c>
      <c r="P447" s="13" t="n">
        <v>37.7</v>
      </c>
      <c r="Q447" s="13" t="n">
        <v>18077</v>
      </c>
      <c r="R447" s="13" t="n">
        <v>103744</v>
      </c>
      <c r="S447" s="13" t="n">
        <v>56163</v>
      </c>
      <c r="T447" s="13" t="n">
        <v>1146</v>
      </c>
      <c r="U447" s="13" t="n">
        <v>863</v>
      </c>
      <c r="V447" s="13" t="n">
        <v>404</v>
      </c>
      <c r="W447" s="13" t="n">
        <v>476</v>
      </c>
      <c r="X447" s="13" t="n">
        <v>395</v>
      </c>
      <c r="Y447" s="13" t="n">
        <v>21242</v>
      </c>
      <c r="Z447" s="13" t="n">
        <v>1920</v>
      </c>
    </row>
    <row r="448" ht="17.1" customHeight="1" s="43">
      <c r="A448" s="3" t="inlineStr">
        <is>
          <t>Manchester Utd</t>
        </is>
      </c>
      <c r="B448" s="13" t="n">
        <v>31</v>
      </c>
      <c r="C448" s="13" t="n">
        <v>53.5</v>
      </c>
      <c r="D448" s="13" t="n">
        <v>38</v>
      </c>
      <c r="E448" s="13" t="n">
        <v>24734</v>
      </c>
      <c r="F448" s="13" t="n">
        <v>2553</v>
      </c>
      <c r="G448" s="13" t="n">
        <v>8593</v>
      </c>
      <c r="H448" s="13" t="n">
        <v>10460</v>
      </c>
      <c r="I448" s="13" t="n">
        <v>5908</v>
      </c>
      <c r="J448" s="13" t="n">
        <v>967</v>
      </c>
      <c r="K448" s="13" t="n">
        <v>24730</v>
      </c>
      <c r="L448" s="13" t="n">
        <v>621</v>
      </c>
      <c r="M448" s="13" t="n">
        <v>252</v>
      </c>
      <c r="N448" s="13" t="n">
        <v>40.6</v>
      </c>
      <c r="O448" s="13" t="n">
        <v>323</v>
      </c>
      <c r="P448" s="13" t="n">
        <v>52</v>
      </c>
      <c r="Q448" s="13" t="n">
        <v>15116</v>
      </c>
      <c r="R448" s="13" t="n">
        <v>75007</v>
      </c>
      <c r="S448" s="13" t="n">
        <v>37992</v>
      </c>
      <c r="T448" s="13" t="n">
        <v>697</v>
      </c>
      <c r="U448" s="13" t="n">
        <v>475</v>
      </c>
      <c r="V448" s="13" t="n">
        <v>230</v>
      </c>
      <c r="W448" s="13" t="n">
        <v>521</v>
      </c>
      <c r="X448" s="13" t="n">
        <v>353</v>
      </c>
      <c r="Y448" s="13" t="n">
        <v>16672</v>
      </c>
      <c r="Z448" s="13" t="n">
        <v>1433</v>
      </c>
    </row>
    <row r="449" ht="15.75" customHeight="1" s="43">
      <c r="A449" s="3" t="inlineStr">
        <is>
          <t>Newcastle Utd</t>
        </is>
      </c>
      <c r="B449" s="13" t="n">
        <v>24</v>
      </c>
      <c r="C449" s="13" t="n">
        <v>51.3</v>
      </c>
      <c r="D449" s="13" t="n">
        <v>38</v>
      </c>
      <c r="E449" s="13" t="n">
        <v>23032</v>
      </c>
      <c r="F449" s="13" t="n">
        <v>2284</v>
      </c>
      <c r="G449" s="13" t="n">
        <v>7468</v>
      </c>
      <c r="H449" s="13" t="n">
        <v>9671</v>
      </c>
      <c r="I449" s="13" t="n">
        <v>6124</v>
      </c>
      <c r="J449" s="13" t="n">
        <v>1082</v>
      </c>
      <c r="K449" s="13" t="n">
        <v>23026</v>
      </c>
      <c r="L449" s="13" t="n">
        <v>657</v>
      </c>
      <c r="M449" s="13" t="n">
        <v>282</v>
      </c>
      <c r="N449" s="13" t="n">
        <v>42.9</v>
      </c>
      <c r="O449" s="13" t="n">
        <v>298</v>
      </c>
      <c r="P449" s="13" t="n">
        <v>45.4</v>
      </c>
      <c r="Q449" s="13" t="n">
        <v>13016</v>
      </c>
      <c r="R449" s="13" t="n">
        <v>71021</v>
      </c>
      <c r="S449" s="13" t="n">
        <v>36065</v>
      </c>
      <c r="T449" s="13" t="n">
        <v>759</v>
      </c>
      <c r="U449" s="13" t="n">
        <v>474</v>
      </c>
      <c r="V449" s="13" t="n">
        <v>263</v>
      </c>
      <c r="W449" s="13" t="n">
        <v>491</v>
      </c>
      <c r="X449" s="13" t="n">
        <v>438</v>
      </c>
      <c r="Y449" s="13" t="n">
        <v>15294</v>
      </c>
      <c r="Z449" s="13" t="n">
        <v>1583</v>
      </c>
    </row>
    <row r="450">
      <c r="A450" s="3" t="inlineStr">
        <is>
          <t>Nott'ham Forest</t>
        </is>
      </c>
      <c r="B450" s="13" t="n">
        <v>23</v>
      </c>
      <c r="C450" s="13" t="n">
        <v>41.2</v>
      </c>
      <c r="D450" s="13" t="n">
        <v>38</v>
      </c>
      <c r="E450" s="13" t="n">
        <v>18996</v>
      </c>
      <c r="F450" s="13" t="n">
        <v>2463</v>
      </c>
      <c r="G450" s="13" t="n">
        <v>6477</v>
      </c>
      <c r="H450" s="13" t="n">
        <v>7688</v>
      </c>
      <c r="I450" s="13" t="n">
        <v>5064</v>
      </c>
      <c r="J450" s="13" t="n">
        <v>785</v>
      </c>
      <c r="K450" s="13" t="n">
        <v>18993</v>
      </c>
      <c r="L450" s="13" t="n">
        <v>581</v>
      </c>
      <c r="M450" s="13" t="n">
        <v>259</v>
      </c>
      <c r="N450" s="13" t="n">
        <v>44.6</v>
      </c>
      <c r="O450" s="13" t="n">
        <v>233</v>
      </c>
      <c r="P450" s="13" t="n">
        <v>40.1</v>
      </c>
      <c r="Q450" s="13" t="n">
        <v>8769</v>
      </c>
      <c r="R450" s="13" t="n">
        <v>49847</v>
      </c>
      <c r="S450" s="13" t="n">
        <v>26563</v>
      </c>
      <c r="T450" s="13" t="n">
        <v>633</v>
      </c>
      <c r="U450" s="13" t="n">
        <v>385</v>
      </c>
      <c r="V450" s="13" t="n">
        <v>187</v>
      </c>
      <c r="W450" s="13" t="n">
        <v>563</v>
      </c>
      <c r="X450" s="13" t="n">
        <v>324</v>
      </c>
      <c r="Y450" s="13" t="n">
        <v>10732</v>
      </c>
      <c r="Z450" s="13" t="n">
        <v>1117</v>
      </c>
    </row>
    <row r="451">
      <c r="A451" s="3" t="inlineStr">
        <is>
          <t>Southampton</t>
        </is>
      </c>
      <c r="B451" s="13" t="n">
        <v>36</v>
      </c>
      <c r="C451" s="13" t="n">
        <v>48.5</v>
      </c>
      <c r="D451" s="13" t="n">
        <v>38</v>
      </c>
      <c r="E451" s="13" t="n">
        <v>22776</v>
      </c>
      <c r="F451" s="13" t="n">
        <v>3003</v>
      </c>
      <c r="G451" s="13" t="n">
        <v>8424</v>
      </c>
      <c r="H451" s="13" t="n">
        <v>9788</v>
      </c>
      <c r="I451" s="13" t="n">
        <v>4766</v>
      </c>
      <c r="J451" s="13" t="n">
        <v>688</v>
      </c>
      <c r="K451" s="13" t="n">
        <v>22774</v>
      </c>
      <c r="L451" s="13" t="n">
        <v>736</v>
      </c>
      <c r="M451" s="13" t="n">
        <v>312</v>
      </c>
      <c r="N451" s="13" t="n">
        <v>42.4</v>
      </c>
      <c r="O451" s="13" t="n">
        <v>333</v>
      </c>
      <c r="P451" s="13" t="n">
        <v>45.2</v>
      </c>
      <c r="Q451" s="13" t="n">
        <v>12656</v>
      </c>
      <c r="R451" s="13" t="n">
        <v>66945</v>
      </c>
      <c r="S451" s="13" t="n">
        <v>34286</v>
      </c>
      <c r="T451" s="13" t="n">
        <v>640</v>
      </c>
      <c r="U451" s="13" t="n">
        <v>460</v>
      </c>
      <c r="V451" s="13" t="n">
        <v>165</v>
      </c>
      <c r="W451" s="13" t="n">
        <v>486</v>
      </c>
      <c r="X451" s="13" t="n">
        <v>355</v>
      </c>
      <c r="Y451" s="13" t="n">
        <v>15394</v>
      </c>
      <c r="Z451" s="13" t="n">
        <v>1118</v>
      </c>
    </row>
    <row r="452">
      <c r="A452" s="3" t="inlineStr">
        <is>
          <t>Tottenham</t>
        </is>
      </c>
      <c r="B452" s="13" t="n">
        <v>31</v>
      </c>
      <c r="C452" s="13" t="n">
        <v>54.7</v>
      </c>
      <c r="D452" s="13" t="n">
        <v>38</v>
      </c>
      <c r="E452" s="13" t="n">
        <v>24315</v>
      </c>
      <c r="F452" s="13" t="n">
        <v>2626</v>
      </c>
      <c r="G452" s="13" t="n">
        <v>8159</v>
      </c>
      <c r="H452" s="13" t="n">
        <v>10173</v>
      </c>
      <c r="I452" s="13" t="n">
        <v>6223</v>
      </c>
      <c r="J452" s="13" t="n">
        <v>1001</v>
      </c>
      <c r="K452" s="13" t="n">
        <v>24311</v>
      </c>
      <c r="L452" s="13" t="n">
        <v>812</v>
      </c>
      <c r="M452" s="13" t="n">
        <v>308</v>
      </c>
      <c r="N452" s="13" t="n">
        <v>37.9</v>
      </c>
      <c r="O452" s="13" t="n">
        <v>425</v>
      </c>
      <c r="P452" s="13" t="n">
        <v>52.3</v>
      </c>
      <c r="Q452" s="13" t="n">
        <v>15073</v>
      </c>
      <c r="R452" s="13" t="n">
        <v>82903</v>
      </c>
      <c r="S452" s="13" t="n">
        <v>41758</v>
      </c>
      <c r="T452" s="13" t="n">
        <v>840</v>
      </c>
      <c r="U452" s="13" t="n">
        <v>566</v>
      </c>
      <c r="V452" s="13" t="n">
        <v>249</v>
      </c>
      <c r="W452" s="13" t="n">
        <v>538</v>
      </c>
      <c r="X452" s="13" t="n">
        <v>426</v>
      </c>
      <c r="Y452" s="13" t="n">
        <v>16373</v>
      </c>
      <c r="Z452" s="13" t="n">
        <v>1582</v>
      </c>
    </row>
    <row r="453">
      <c r="A453" s="3" t="inlineStr">
        <is>
          <t>West Ham</t>
        </is>
      </c>
      <c r="B453" s="13" t="n">
        <v>27</v>
      </c>
      <c r="C453" s="13" t="n">
        <v>48.4</v>
      </c>
      <c r="D453" s="13" t="n">
        <v>38</v>
      </c>
      <c r="E453" s="13" t="n">
        <v>22887</v>
      </c>
      <c r="F453" s="13" t="n">
        <v>2942</v>
      </c>
      <c r="G453" s="13" t="n">
        <v>8352</v>
      </c>
      <c r="H453" s="13" t="n">
        <v>9852</v>
      </c>
      <c r="I453" s="13" t="n">
        <v>4896</v>
      </c>
      <c r="J453" s="13" t="n">
        <v>839</v>
      </c>
      <c r="K453" s="13" t="n">
        <v>22884</v>
      </c>
      <c r="L453" s="13" t="n">
        <v>793</v>
      </c>
      <c r="M453" s="13" t="n">
        <v>347</v>
      </c>
      <c r="N453" s="13" t="n">
        <v>43.8</v>
      </c>
      <c r="O453" s="13" t="n">
        <v>360</v>
      </c>
      <c r="P453" s="13" t="n">
        <v>45.4</v>
      </c>
      <c r="Q453" s="13" t="n">
        <v>11796</v>
      </c>
      <c r="R453" s="13" t="n">
        <v>59439</v>
      </c>
      <c r="S453" s="13" t="n">
        <v>29684</v>
      </c>
      <c r="T453" s="13" t="n">
        <v>632</v>
      </c>
      <c r="U453" s="13" t="n">
        <v>394</v>
      </c>
      <c r="V453" s="13" t="n">
        <v>175</v>
      </c>
      <c r="W453" s="13" t="n">
        <v>492</v>
      </c>
      <c r="X453" s="13" t="n">
        <v>392</v>
      </c>
      <c r="Y453" s="13" t="n">
        <v>14712</v>
      </c>
      <c r="Z453" s="13" t="n">
        <v>1214</v>
      </c>
    </row>
    <row r="454">
      <c r="A454" s="3" t="inlineStr">
        <is>
          <t>Wolves</t>
        </is>
      </c>
      <c r="B454" s="13" t="n">
        <v>32</v>
      </c>
      <c r="C454" s="13" t="n">
        <v>48.1</v>
      </c>
      <c r="D454" s="13" t="n">
        <v>38</v>
      </c>
      <c r="E454" s="13" t="n">
        <v>22329</v>
      </c>
      <c r="F454" s="13" t="n">
        <v>2578</v>
      </c>
      <c r="G454" s="13" t="n">
        <v>7797</v>
      </c>
      <c r="H454" s="13" t="n">
        <v>10051</v>
      </c>
      <c r="I454" s="13" t="n">
        <v>4750</v>
      </c>
      <c r="J454" s="13" t="n">
        <v>729</v>
      </c>
      <c r="K454" s="13" t="n">
        <v>22328</v>
      </c>
      <c r="L454" s="13" t="n">
        <v>731</v>
      </c>
      <c r="M454" s="13" t="n">
        <v>324</v>
      </c>
      <c r="N454" s="13" t="n">
        <v>44.3</v>
      </c>
      <c r="O454" s="13" t="n">
        <v>315</v>
      </c>
      <c r="P454" s="13" t="n">
        <v>43.1</v>
      </c>
      <c r="Q454" s="13" t="n">
        <v>12486</v>
      </c>
      <c r="R454" s="13" t="n">
        <v>66974</v>
      </c>
      <c r="S454" s="13" t="n">
        <v>34365</v>
      </c>
      <c r="T454" s="13" t="n">
        <v>607</v>
      </c>
      <c r="U454" s="13" t="n">
        <v>458</v>
      </c>
      <c r="V454" s="13" t="n">
        <v>146</v>
      </c>
      <c r="W454" s="13" t="n">
        <v>591</v>
      </c>
      <c r="X454" s="13" t="n">
        <v>369</v>
      </c>
      <c r="Y454" s="13" t="n">
        <v>14358</v>
      </c>
      <c r="Z454" s="13" t="n">
        <v>1179</v>
      </c>
    </row>
    <row r="456">
      <c r="A456" s="45" t="inlineStr">
        <is>
          <t>Squad Possession 2024-2025 Premier League Table</t>
        </is>
      </c>
    </row>
    <row r="457" ht="17.1" customHeight="1" s="43">
      <c r="A457" s="44" t="n"/>
      <c r="E457" s="44" t="inlineStr">
        <is>
          <t>Touches</t>
        </is>
      </c>
      <c r="L457" s="44" t="inlineStr">
        <is>
          <t>Take-Ons</t>
        </is>
      </c>
      <c r="Q457" s="44" t="inlineStr">
        <is>
          <t>Carries</t>
        </is>
      </c>
      <c r="Y457" s="44" t="inlineStr">
        <is>
          <t>Receiving</t>
        </is>
      </c>
    </row>
    <row r="458">
      <c r="A458" s="44" t="inlineStr">
        <is>
          <t>Squad</t>
        </is>
      </c>
      <c r="B458" s="44" t="inlineStr">
        <is>
          <t># Pl</t>
        </is>
      </c>
      <c r="C458" s="44" t="inlineStr">
        <is>
          <t>Poss</t>
        </is>
      </c>
      <c r="D458" s="44" t="inlineStr">
        <is>
          <t>90s</t>
        </is>
      </c>
      <c r="E458" s="44" t="inlineStr">
        <is>
          <t>Touches</t>
        </is>
      </c>
      <c r="F458" s="44" t="inlineStr">
        <is>
          <t>Def Pen</t>
        </is>
      </c>
      <c r="G458" s="44" t="inlineStr">
        <is>
          <t>Def 3rd</t>
        </is>
      </c>
      <c r="H458" s="44" t="inlineStr">
        <is>
          <t>Mid 3rd</t>
        </is>
      </c>
      <c r="I458" s="44" t="inlineStr">
        <is>
          <t>Att 3rd</t>
        </is>
      </c>
      <c r="J458" s="44" t="inlineStr">
        <is>
          <t>Att Pen</t>
        </is>
      </c>
      <c r="K458" s="44" t="inlineStr">
        <is>
          <t>Live</t>
        </is>
      </c>
      <c r="L458" s="44" t="inlineStr">
        <is>
          <t>Att</t>
        </is>
      </c>
      <c r="M458" s="44" t="inlineStr">
        <is>
          <t>Succ</t>
        </is>
      </c>
      <c r="N458" s="44" t="inlineStr">
        <is>
          <t>Succ%</t>
        </is>
      </c>
      <c r="O458" s="44" t="inlineStr">
        <is>
          <t>Tkld</t>
        </is>
      </c>
      <c r="P458" s="44" t="inlineStr">
        <is>
          <t>Tkld%</t>
        </is>
      </c>
      <c r="Q458" s="44" t="inlineStr">
        <is>
          <t>Carries</t>
        </is>
      </c>
      <c r="R458" s="44" t="inlineStr">
        <is>
          <t>TotDist</t>
        </is>
      </c>
      <c r="S458" s="44" t="inlineStr">
        <is>
          <t>PrgDist</t>
        </is>
      </c>
      <c r="T458" s="44" t="inlineStr">
        <is>
          <t>PrgC</t>
        </is>
      </c>
      <c r="U458" s="44" t="inlineStr">
        <is>
          <t>1/3</t>
        </is>
      </c>
      <c r="V458" s="44" t="inlineStr">
        <is>
          <t>CPA</t>
        </is>
      </c>
      <c r="W458" s="44" t="inlineStr">
        <is>
          <t>Mis</t>
        </is>
      </c>
      <c r="X458" s="44" t="inlineStr">
        <is>
          <t>Dis</t>
        </is>
      </c>
      <c r="Y458" s="44" t="inlineStr">
        <is>
          <t>Rec</t>
        </is>
      </c>
      <c r="Z458" s="44" t="inlineStr">
        <is>
          <t>PrgR</t>
        </is>
      </c>
    </row>
    <row r="459">
      <c r="A459" s="3" t="inlineStr">
        <is>
          <t>vs Arsenal</t>
        </is>
      </c>
      <c r="B459" s="13" t="n">
        <v>25</v>
      </c>
      <c r="C459" s="13" t="n">
        <v>43.1</v>
      </c>
      <c r="D459" s="13" t="n">
        <v>38</v>
      </c>
      <c r="E459" s="13" t="n">
        <v>19306</v>
      </c>
      <c r="F459" s="13" t="n">
        <v>2948</v>
      </c>
      <c r="G459" s="13" t="n">
        <v>7642</v>
      </c>
      <c r="H459" s="13" t="n">
        <v>7501</v>
      </c>
      <c r="I459" s="13" t="n">
        <v>4397</v>
      </c>
      <c r="J459" s="13" t="n">
        <v>632</v>
      </c>
      <c r="K459" s="13" t="n">
        <v>19303</v>
      </c>
      <c r="L459" s="13" t="n">
        <v>595</v>
      </c>
      <c r="M459" s="13" t="n">
        <v>255</v>
      </c>
      <c r="N459" s="13" t="n">
        <v>42.9</v>
      </c>
      <c r="O459" s="13" t="n">
        <v>260</v>
      </c>
      <c r="P459" s="13" t="n">
        <v>43.7</v>
      </c>
      <c r="Q459" s="13" t="n">
        <v>10350</v>
      </c>
      <c r="R459" s="13" t="n">
        <v>57925</v>
      </c>
      <c r="S459" s="13" t="n">
        <v>30357</v>
      </c>
      <c r="T459" s="13" t="n">
        <v>618</v>
      </c>
      <c r="U459" s="13" t="n">
        <v>413</v>
      </c>
      <c r="V459" s="13" t="n">
        <v>162</v>
      </c>
      <c r="W459" s="13" t="n">
        <v>451</v>
      </c>
      <c r="X459" s="13" t="n">
        <v>338</v>
      </c>
      <c r="Y459" s="13" t="n">
        <v>12077</v>
      </c>
      <c r="Z459" s="13" t="n">
        <v>927</v>
      </c>
    </row>
    <row r="460">
      <c r="A460" s="3" t="inlineStr">
        <is>
          <t>vs Aston Villa</t>
        </is>
      </c>
      <c r="B460" s="13" t="n">
        <v>28</v>
      </c>
      <c r="C460" s="13" t="n">
        <v>49.5</v>
      </c>
      <c r="D460" s="13" t="n">
        <v>38</v>
      </c>
      <c r="E460" s="13" t="n">
        <v>21614</v>
      </c>
      <c r="F460" s="13" t="n">
        <v>2408</v>
      </c>
      <c r="G460" s="13" t="n">
        <v>6804</v>
      </c>
      <c r="H460" s="13" t="n">
        <v>9497</v>
      </c>
      <c r="I460" s="13" t="n">
        <v>5515</v>
      </c>
      <c r="J460" s="13" t="n">
        <v>886</v>
      </c>
      <c r="K460" s="13" t="n">
        <v>21611</v>
      </c>
      <c r="L460" s="13" t="n">
        <v>617</v>
      </c>
      <c r="M460" s="13" t="n">
        <v>236</v>
      </c>
      <c r="N460" s="13" t="n">
        <v>38.2</v>
      </c>
      <c r="O460" s="13" t="n">
        <v>310</v>
      </c>
      <c r="P460" s="13" t="n">
        <v>50.2</v>
      </c>
      <c r="Q460" s="13" t="n">
        <v>12031</v>
      </c>
      <c r="R460" s="13" t="n">
        <v>65638</v>
      </c>
      <c r="S460" s="13" t="n">
        <v>34386</v>
      </c>
      <c r="T460" s="13" t="n">
        <v>688</v>
      </c>
      <c r="U460" s="13" t="n">
        <v>462</v>
      </c>
      <c r="V460" s="13" t="n">
        <v>205</v>
      </c>
      <c r="W460" s="13" t="n">
        <v>491</v>
      </c>
      <c r="X460" s="13" t="n">
        <v>327</v>
      </c>
      <c r="Y460" s="13" t="n">
        <v>14278</v>
      </c>
      <c r="Z460" s="13" t="n">
        <v>1292</v>
      </c>
    </row>
    <row r="461">
      <c r="A461" s="3" t="inlineStr">
        <is>
          <t>vs Bournemouth</t>
        </is>
      </c>
      <c r="B461" s="13" t="n">
        <v>29</v>
      </c>
      <c r="C461" s="13" t="n">
        <v>51.5</v>
      </c>
      <c r="D461" s="13" t="n">
        <v>38</v>
      </c>
      <c r="E461" s="13" t="n">
        <v>22681</v>
      </c>
      <c r="F461" s="13" t="n">
        <v>2841</v>
      </c>
      <c r="G461" s="13" t="n">
        <v>8227</v>
      </c>
      <c r="H461" s="13" t="n">
        <v>9246</v>
      </c>
      <c r="I461" s="13" t="n">
        <v>5446</v>
      </c>
      <c r="J461" s="13" t="n">
        <v>934</v>
      </c>
      <c r="K461" s="13" t="n">
        <v>22677</v>
      </c>
      <c r="L461" s="13" t="n">
        <v>704</v>
      </c>
      <c r="M461" s="13" t="n">
        <v>326</v>
      </c>
      <c r="N461" s="13" t="n">
        <v>46.3</v>
      </c>
      <c r="O461" s="13" t="n">
        <v>301</v>
      </c>
      <c r="P461" s="13" t="n">
        <v>42.8</v>
      </c>
      <c r="Q461" s="13" t="n">
        <v>12104</v>
      </c>
      <c r="R461" s="13" t="n">
        <v>65710</v>
      </c>
      <c r="S461" s="13" t="n">
        <v>32384</v>
      </c>
      <c r="T461" s="13" t="n">
        <v>685</v>
      </c>
      <c r="U461" s="13" t="n">
        <v>452</v>
      </c>
      <c r="V461" s="13" t="n">
        <v>203</v>
      </c>
      <c r="W461" s="13" t="n">
        <v>663</v>
      </c>
      <c r="X461" s="13" t="n">
        <v>390</v>
      </c>
      <c r="Y461" s="13" t="n">
        <v>13911</v>
      </c>
      <c r="Z461" s="13" t="n">
        <v>1280</v>
      </c>
    </row>
    <row r="462">
      <c r="A462" s="3" t="inlineStr">
        <is>
          <t>vs Brentford</t>
        </is>
      </c>
      <c r="B462" s="13" t="n">
        <v>28</v>
      </c>
      <c r="C462" s="13" t="n">
        <v>52.1</v>
      </c>
      <c r="D462" s="13" t="n">
        <v>38</v>
      </c>
      <c r="E462" s="13" t="n">
        <v>23090</v>
      </c>
      <c r="F462" s="13" t="n">
        <v>2608</v>
      </c>
      <c r="G462" s="13" t="n">
        <v>7185</v>
      </c>
      <c r="H462" s="13" t="n">
        <v>8991</v>
      </c>
      <c r="I462" s="13" t="n">
        <v>7103</v>
      </c>
      <c r="J462" s="13" t="n">
        <v>1189</v>
      </c>
      <c r="K462" s="13" t="n">
        <v>23089</v>
      </c>
      <c r="L462" s="13" t="n">
        <v>661</v>
      </c>
      <c r="M462" s="13" t="n">
        <v>282</v>
      </c>
      <c r="N462" s="13" t="n">
        <v>42.7</v>
      </c>
      <c r="O462" s="13" t="n">
        <v>314</v>
      </c>
      <c r="P462" s="13" t="n">
        <v>47.5</v>
      </c>
      <c r="Q462" s="13" t="n">
        <v>12890</v>
      </c>
      <c r="R462" s="13" t="n">
        <v>68221</v>
      </c>
      <c r="S462" s="13" t="n">
        <v>36588</v>
      </c>
      <c r="T462" s="13" t="n">
        <v>835</v>
      </c>
      <c r="U462" s="13" t="n">
        <v>579</v>
      </c>
      <c r="V462" s="13" t="n">
        <v>294</v>
      </c>
      <c r="W462" s="13" t="n">
        <v>507</v>
      </c>
      <c r="X462" s="13" t="n">
        <v>319</v>
      </c>
      <c r="Y462" s="13" t="n">
        <v>14889</v>
      </c>
      <c r="Z462" s="13" t="n">
        <v>1547</v>
      </c>
    </row>
    <row r="463" ht="18" customHeight="1" s="43">
      <c r="A463" s="3" t="inlineStr">
        <is>
          <t>vs Brighton</t>
        </is>
      </c>
      <c r="B463" s="13" t="n">
        <v>32</v>
      </c>
      <c r="C463" s="13" t="n">
        <v>47.7</v>
      </c>
      <c r="D463" s="13" t="n">
        <v>38</v>
      </c>
      <c r="E463" s="13" t="n">
        <v>22046</v>
      </c>
      <c r="F463" s="13" t="n">
        <v>2949</v>
      </c>
      <c r="G463" s="13" t="n">
        <v>8740</v>
      </c>
      <c r="H463" s="13" t="n">
        <v>9148</v>
      </c>
      <c r="I463" s="13" t="n">
        <v>4374</v>
      </c>
      <c r="J463" s="13" t="n">
        <v>877</v>
      </c>
      <c r="K463" s="13" t="n">
        <v>22037</v>
      </c>
      <c r="L463" s="13" t="n">
        <v>795</v>
      </c>
      <c r="M463" s="13" t="n">
        <v>353</v>
      </c>
      <c r="N463" s="13" t="n">
        <v>44.4</v>
      </c>
      <c r="O463" s="13" t="n">
        <v>350</v>
      </c>
      <c r="P463" s="13" t="n">
        <v>44</v>
      </c>
      <c r="Q463" s="13" t="n">
        <v>12304</v>
      </c>
      <c r="R463" s="13" t="n">
        <v>64473</v>
      </c>
      <c r="S463" s="13" t="n">
        <v>31459</v>
      </c>
      <c r="T463" s="13" t="n">
        <v>607</v>
      </c>
      <c r="U463" s="13" t="n">
        <v>355</v>
      </c>
      <c r="V463" s="13" t="n">
        <v>243</v>
      </c>
      <c r="W463" s="13" t="n">
        <v>503</v>
      </c>
      <c r="X463" s="13" t="n">
        <v>355</v>
      </c>
      <c r="Y463" s="13" t="n">
        <v>14102</v>
      </c>
      <c r="Z463" s="13" t="n">
        <v>1196</v>
      </c>
    </row>
    <row r="464" ht="18" customHeight="1" s="43">
      <c r="A464" s="3" t="inlineStr">
        <is>
          <t>vs Chelsea</t>
        </is>
      </c>
      <c r="B464" s="13" t="n">
        <v>29</v>
      </c>
      <c r="C464" s="13" t="n">
        <v>42.9</v>
      </c>
      <c r="D464" s="13" t="n">
        <v>38</v>
      </c>
      <c r="E464" s="13" t="n">
        <v>20227</v>
      </c>
      <c r="F464" s="13" t="n">
        <v>2916</v>
      </c>
      <c r="G464" s="13" t="n">
        <v>8063</v>
      </c>
      <c r="H464" s="13" t="n">
        <v>8175</v>
      </c>
      <c r="I464" s="13" t="n">
        <v>4232</v>
      </c>
      <c r="J464" s="13" t="n">
        <v>771</v>
      </c>
      <c r="K464" s="13" t="n">
        <v>20221</v>
      </c>
      <c r="L464" s="13" t="n">
        <v>627</v>
      </c>
      <c r="M464" s="13" t="n">
        <v>263</v>
      </c>
      <c r="N464" s="13" t="n">
        <v>41.9</v>
      </c>
      <c r="O464" s="13" t="n">
        <v>273</v>
      </c>
      <c r="P464" s="13" t="n">
        <v>43.5</v>
      </c>
      <c r="Q464" s="13" t="n">
        <v>11048</v>
      </c>
      <c r="R464" s="13" t="n">
        <v>60917</v>
      </c>
      <c r="S464" s="13" t="n">
        <v>31015</v>
      </c>
      <c r="T464" s="13" t="n">
        <v>600</v>
      </c>
      <c r="U464" s="13" t="n">
        <v>391</v>
      </c>
      <c r="V464" s="13" t="n">
        <v>179</v>
      </c>
      <c r="W464" s="13" t="n">
        <v>468</v>
      </c>
      <c r="X464" s="13" t="n">
        <v>315</v>
      </c>
      <c r="Y464" s="13" t="n">
        <v>12876</v>
      </c>
      <c r="Z464" s="13" t="n">
        <v>1190</v>
      </c>
    </row>
    <row r="465" ht="17.1" customHeight="1" s="43">
      <c r="A465" s="3" t="inlineStr">
        <is>
          <t>vs Crystal Palace</t>
        </is>
      </c>
      <c r="B465" s="13" t="n">
        <v>29</v>
      </c>
      <c r="C465" s="13" t="n">
        <v>57.2</v>
      </c>
      <c r="D465" s="13" t="n">
        <v>38</v>
      </c>
      <c r="E465" s="13" t="n">
        <v>25561</v>
      </c>
      <c r="F465" s="13" t="n">
        <v>2451</v>
      </c>
      <c r="G465" s="13" t="n">
        <v>7644</v>
      </c>
      <c r="H465" s="13" t="n">
        <v>11861</v>
      </c>
      <c r="I465" s="13" t="n">
        <v>6291</v>
      </c>
      <c r="J465" s="13" t="n">
        <v>904</v>
      </c>
      <c r="K465" s="13" t="n">
        <v>25559</v>
      </c>
      <c r="L465" s="13" t="n">
        <v>733</v>
      </c>
      <c r="M465" s="13" t="n">
        <v>319</v>
      </c>
      <c r="N465" s="13" t="n">
        <v>43.5</v>
      </c>
      <c r="O465" s="13" t="n">
        <v>324</v>
      </c>
      <c r="P465" s="13" t="n">
        <v>44.2</v>
      </c>
      <c r="Q465" s="13" t="n">
        <v>14221</v>
      </c>
      <c r="R465" s="13" t="n">
        <v>76019</v>
      </c>
      <c r="S465" s="13" t="n">
        <v>39539</v>
      </c>
      <c r="T465" s="13" t="n">
        <v>686</v>
      </c>
      <c r="U465" s="13" t="n">
        <v>501</v>
      </c>
      <c r="V465" s="13" t="n">
        <v>175</v>
      </c>
      <c r="W465" s="13" t="n">
        <v>582</v>
      </c>
      <c r="X465" s="13" t="n">
        <v>443</v>
      </c>
      <c r="Y465" s="13" t="n">
        <v>17148</v>
      </c>
      <c r="Z465" s="13" t="n">
        <v>1566</v>
      </c>
    </row>
    <row r="466">
      <c r="A466" s="3" t="inlineStr">
        <is>
          <t>vs Everton</t>
        </is>
      </c>
      <c r="B466" s="13" t="n">
        <v>26</v>
      </c>
      <c r="C466" s="13" t="n">
        <v>59.1</v>
      </c>
      <c r="D466" s="13" t="n">
        <v>38</v>
      </c>
      <c r="E466" s="13" t="n">
        <v>25864</v>
      </c>
      <c r="F466" s="13" t="n">
        <v>2401</v>
      </c>
      <c r="G466" s="13" t="n">
        <v>8222</v>
      </c>
      <c r="H466" s="13" t="n">
        <v>11641</v>
      </c>
      <c r="I466" s="13" t="n">
        <v>6229</v>
      </c>
      <c r="J466" s="13" t="n">
        <v>931</v>
      </c>
      <c r="K466" s="13" t="n">
        <v>25862</v>
      </c>
      <c r="L466" s="13" t="n">
        <v>729</v>
      </c>
      <c r="M466" s="13" t="n">
        <v>318</v>
      </c>
      <c r="N466" s="13" t="n">
        <v>43.6</v>
      </c>
      <c r="O466" s="13" t="n">
        <v>338</v>
      </c>
      <c r="P466" s="13" t="n">
        <v>46.4</v>
      </c>
      <c r="Q466" s="13" t="n">
        <v>15106</v>
      </c>
      <c r="R466" s="13" t="n">
        <v>79769</v>
      </c>
      <c r="S466" s="13" t="n">
        <v>42431</v>
      </c>
      <c r="T466" s="13" t="n">
        <v>724</v>
      </c>
      <c r="U466" s="13" t="n">
        <v>520</v>
      </c>
      <c r="V466" s="13" t="n">
        <v>195</v>
      </c>
      <c r="W466" s="13" t="n">
        <v>549</v>
      </c>
      <c r="X466" s="13" t="n">
        <v>394</v>
      </c>
      <c r="Y466" s="13" t="n">
        <v>17776</v>
      </c>
      <c r="Z466" s="13" t="n">
        <v>1616</v>
      </c>
      <c r="AU466" s="15" t="inlineStr">
        <is>
          <t>Tackles Won Per Game</t>
        </is>
      </c>
      <c r="AV466" s="15" t="inlineStr">
        <is>
          <t>Shots Blocked Per Game</t>
        </is>
      </c>
      <c r="AW466" s="15" t="inlineStr">
        <is>
          <t>Interceptions Per Game</t>
        </is>
      </c>
      <c r="BA466" s="15" t="inlineStr">
        <is>
          <t>Tackles Won Per Game</t>
        </is>
      </c>
      <c r="BB466" s="15" t="inlineStr">
        <is>
          <t>Shots Blocked Per Game</t>
        </is>
      </c>
      <c r="BC466" s="15" t="inlineStr">
        <is>
          <t>Interceptions Per Game</t>
        </is>
      </c>
    </row>
    <row r="467" ht="15.75" customHeight="1" s="43">
      <c r="A467" s="3" t="inlineStr">
        <is>
          <t>vs Fulham</t>
        </is>
      </c>
      <c r="B467" s="13" t="n">
        <v>26</v>
      </c>
      <c r="C467" s="13" t="n">
        <v>47.7</v>
      </c>
      <c r="D467" s="13" t="n">
        <v>38</v>
      </c>
      <c r="E467" s="13" t="n">
        <v>22348</v>
      </c>
      <c r="F467" s="13" t="n">
        <v>2568</v>
      </c>
      <c r="G467" s="13" t="n">
        <v>7282</v>
      </c>
      <c r="H467" s="13" t="n">
        <v>10037</v>
      </c>
      <c r="I467" s="13" t="n">
        <v>5271</v>
      </c>
      <c r="J467" s="13" t="n">
        <v>825</v>
      </c>
      <c r="K467" s="13" t="n">
        <v>22344</v>
      </c>
      <c r="L467" s="13" t="n">
        <v>658</v>
      </c>
      <c r="M467" s="13" t="n">
        <v>276</v>
      </c>
      <c r="N467" s="13" t="n">
        <v>41.9</v>
      </c>
      <c r="O467" s="13" t="n">
        <v>289</v>
      </c>
      <c r="P467" s="13" t="n">
        <v>43.9</v>
      </c>
      <c r="Q467" s="13" t="n">
        <v>12382</v>
      </c>
      <c r="R467" s="13" t="n">
        <v>68477</v>
      </c>
      <c r="S467" s="13" t="n">
        <v>35170</v>
      </c>
      <c r="T467" s="13" t="n">
        <v>654</v>
      </c>
      <c r="U467" s="13" t="n">
        <v>459</v>
      </c>
      <c r="V467" s="13" t="n">
        <v>180</v>
      </c>
      <c r="W467" s="13" t="n">
        <v>572</v>
      </c>
      <c r="X467" s="13" t="n">
        <v>390</v>
      </c>
      <c r="Y467" s="13" t="n">
        <v>14544</v>
      </c>
      <c r="Z467" s="13" t="n">
        <v>1384</v>
      </c>
      <c r="AU467">
        <f>E467/VLOOKUP(A467,$A$179:$C$198,3,0)</f>
        <v/>
      </c>
      <c r="AV467">
        <f>N467/VLOOKUP(A467,$A$179:$C$198,3,0)</f>
        <v/>
      </c>
      <c r="AW467">
        <f>P467/VLOOKUP(A467,$A$179:$C$198,3,0)</f>
        <v/>
      </c>
      <c r="AZ467">
        <f>VLOOKUP(A467,Helpers!$B$4:$C$34,2,0)</f>
        <v/>
      </c>
      <c r="BA467">
        <f>IF(IF(COUNTIF($BF$467:$BF$486,BF467)&gt;1,TRUE,FALSE),"T"&amp;BF467,BF467)</f>
        <v/>
      </c>
      <c r="BB467">
        <f>IF(IF(COUNTIF($BF$467:$BF$486,BG467)&gt;1,TRUE,FALSE),"T"&amp;BG467,BG467)</f>
        <v/>
      </c>
      <c r="BC467">
        <f>IF(IF(COUNTIF($BF$467:$BF$486,BH467)&gt;1,TRUE,FALSE),"T"&amp;BH467,BH467)</f>
        <v/>
      </c>
      <c r="BF467">
        <f>RANK(AU467,AU$467:AU$486)</f>
        <v/>
      </c>
      <c r="BG467">
        <f>RANK(AV467,AV$467:AV$486)</f>
        <v/>
      </c>
      <c r="BH467">
        <f>RANK(AW467,AW$467:AW$486)</f>
        <v/>
      </c>
    </row>
    <row r="468">
      <c r="A468" s="3" t="inlineStr">
        <is>
          <t>vs Ipswich Town</t>
        </is>
      </c>
      <c r="B468" s="13" t="n">
        <v>32</v>
      </c>
      <c r="C468" s="13" t="n">
        <v>59.4</v>
      </c>
      <c r="D468" s="13" t="n">
        <v>38</v>
      </c>
      <c r="E468" s="13" t="n">
        <v>25927</v>
      </c>
      <c r="F468" s="13" t="n">
        <v>2229</v>
      </c>
      <c r="G468" s="13" t="n">
        <v>7646</v>
      </c>
      <c r="H468" s="13" t="n">
        <v>11051</v>
      </c>
      <c r="I468" s="13" t="n">
        <v>7443</v>
      </c>
      <c r="J468" s="13" t="n">
        <v>1168</v>
      </c>
      <c r="K468" s="13" t="n">
        <v>25921</v>
      </c>
      <c r="L468" s="13" t="n">
        <v>674</v>
      </c>
      <c r="M468" s="13" t="n">
        <v>323</v>
      </c>
      <c r="N468" s="13" t="n">
        <v>47.9</v>
      </c>
      <c r="O468" s="13" t="n">
        <v>281</v>
      </c>
      <c r="P468" s="13" t="n">
        <v>41.7</v>
      </c>
      <c r="Q468" s="13" t="n">
        <v>15621</v>
      </c>
      <c r="R468" s="13" t="n">
        <v>79646</v>
      </c>
      <c r="S468" s="13" t="n">
        <v>40213</v>
      </c>
      <c r="T468" s="13" t="n">
        <v>812</v>
      </c>
      <c r="U468" s="13" t="n">
        <v>547</v>
      </c>
      <c r="V468" s="13" t="n">
        <v>286</v>
      </c>
      <c r="W468" s="13" t="n">
        <v>498</v>
      </c>
      <c r="X468" s="13" t="n">
        <v>308</v>
      </c>
      <c r="Y468" s="13" t="n">
        <v>18201</v>
      </c>
      <c r="Z468" s="13" t="n">
        <v>1703</v>
      </c>
      <c r="AU468">
        <f>E468/VLOOKUP(A468,$A$179:$C$198,3,0)</f>
        <v/>
      </c>
      <c r="AV468">
        <f>N468/VLOOKUP(A468,$A$179:$C$198,3,0)</f>
        <v/>
      </c>
      <c r="AW468">
        <f>P468/VLOOKUP(A468,$A$179:$C$198,3,0)</f>
        <v/>
      </c>
      <c r="AZ468">
        <f>VLOOKUP(A468,Helpers!$B$4:$C$34,2,0)</f>
        <v/>
      </c>
      <c r="BA468">
        <f>IF(IF(COUNTIF($BF$467:$BF$486,BF468)&gt;1,TRUE,FALSE),"T"&amp;BF468,BF468)</f>
        <v/>
      </c>
      <c r="BB468">
        <f>IF(IF(COUNTIF($BF$467:$BF$486,BG468)&gt;1,TRUE,FALSE),"T"&amp;BG468,BG468)</f>
        <v/>
      </c>
      <c r="BC468">
        <f>IF(IF(COUNTIF($BF$467:$BF$486,BH468)&gt;1,TRUE,FALSE),"T"&amp;BH468,BH468)</f>
        <v/>
      </c>
      <c r="BF468">
        <f>RANK(AU468,AU$467:AU$486)</f>
        <v/>
      </c>
      <c r="BG468">
        <f>RANK(AV468,AV$467:AV$486)</f>
        <v/>
      </c>
      <c r="BH468">
        <f>RANK(AW468,AW$467:AW$486)</f>
        <v/>
      </c>
    </row>
    <row r="469" ht="18" customHeight="1" s="43">
      <c r="A469" s="3" t="inlineStr">
        <is>
          <t>vs Leicester City</t>
        </is>
      </c>
      <c r="B469" s="13" t="n">
        <v>32</v>
      </c>
      <c r="C469" s="13" t="n">
        <v>54.6</v>
      </c>
      <c r="D469" s="13" t="n">
        <v>38</v>
      </c>
      <c r="E469" s="13" t="n">
        <v>25340</v>
      </c>
      <c r="F469" s="13" t="n">
        <v>2098</v>
      </c>
      <c r="G469" s="13" t="n">
        <v>7128</v>
      </c>
      <c r="H469" s="13" t="n">
        <v>11349</v>
      </c>
      <c r="I469" s="13" t="n">
        <v>7106</v>
      </c>
      <c r="J469" s="13" t="n">
        <v>1214</v>
      </c>
      <c r="K469" s="13" t="n">
        <v>25336</v>
      </c>
      <c r="L469" s="13" t="n">
        <v>782</v>
      </c>
      <c r="M469" s="13" t="n">
        <v>359</v>
      </c>
      <c r="N469" s="13" t="n">
        <v>45.9</v>
      </c>
      <c r="O469" s="13" t="n">
        <v>336</v>
      </c>
      <c r="P469" s="13" t="n">
        <v>43</v>
      </c>
      <c r="Q469" s="13" t="n">
        <v>14685</v>
      </c>
      <c r="R469" s="13" t="n">
        <v>76672</v>
      </c>
      <c r="S469" s="13" t="n">
        <v>39044</v>
      </c>
      <c r="T469" s="13" t="n">
        <v>735</v>
      </c>
      <c r="U469" s="13" t="n">
        <v>534</v>
      </c>
      <c r="V469" s="13" t="n">
        <v>236</v>
      </c>
      <c r="W469" s="13" t="n">
        <v>518</v>
      </c>
      <c r="X469" s="13" t="n">
        <v>392</v>
      </c>
      <c r="Y469" s="13" t="n">
        <v>17421</v>
      </c>
      <c r="Z469" s="13" t="n">
        <v>1736</v>
      </c>
      <c r="AU469">
        <f>E469/VLOOKUP(A469,$A$179:$C$198,3,0)</f>
        <v/>
      </c>
      <c r="AV469">
        <f>N469/VLOOKUP(A469,$A$179:$C$198,3,0)</f>
        <v/>
      </c>
      <c r="AW469">
        <f>P469/VLOOKUP(A469,$A$179:$C$198,3,0)</f>
        <v/>
      </c>
      <c r="AZ469">
        <f>VLOOKUP(A469,Helpers!$B$4:$C$34,2,0)</f>
        <v/>
      </c>
      <c r="BA469">
        <f>IF(IF(COUNTIF($BF$467:$BF$486,BF469)&gt;1,TRUE,FALSE),"T"&amp;BF469,BF469)</f>
        <v/>
      </c>
      <c r="BB469">
        <f>IF(IF(COUNTIF($BF$467:$BF$486,BG469)&gt;1,TRUE,FALSE),"T"&amp;BG469,BG469)</f>
        <v/>
      </c>
      <c r="BC469">
        <f>IF(IF(COUNTIF($BF$467:$BF$486,BH469)&gt;1,TRUE,FALSE),"T"&amp;BH469,BH469)</f>
        <v/>
      </c>
      <c r="BF469">
        <f>RANK(AU469,AU$467:AU$486)</f>
        <v/>
      </c>
      <c r="BG469">
        <f>RANK(AV469,AV$467:AV$486)</f>
        <v/>
      </c>
      <c r="BH469">
        <f>RANK(AW469,AW$467:AW$486)</f>
        <v/>
      </c>
    </row>
    <row r="470" ht="17.1" customHeight="1" s="43">
      <c r="A470" s="3" t="inlineStr">
        <is>
          <t>vs Liverpool</t>
        </is>
      </c>
      <c r="B470" s="13" t="n">
        <v>24</v>
      </c>
      <c r="C470" s="13" t="n">
        <v>42.3</v>
      </c>
      <c r="D470" s="13" t="n">
        <v>38</v>
      </c>
      <c r="E470" s="13" t="n">
        <v>20431</v>
      </c>
      <c r="F470" s="13" t="n">
        <v>3165</v>
      </c>
      <c r="G470" s="13" t="n">
        <v>8090</v>
      </c>
      <c r="H470" s="13" t="n">
        <v>8087</v>
      </c>
      <c r="I470" s="13" t="n">
        <v>4493</v>
      </c>
      <c r="J470" s="13" t="n">
        <v>779</v>
      </c>
      <c r="K470" s="13" t="n">
        <v>20429</v>
      </c>
      <c r="L470" s="13" t="n">
        <v>740</v>
      </c>
      <c r="M470" s="13" t="n">
        <v>316</v>
      </c>
      <c r="N470" s="13" t="n">
        <v>42.7</v>
      </c>
      <c r="O470" s="13" t="n">
        <v>340</v>
      </c>
      <c r="P470" s="13" t="n">
        <v>45.9</v>
      </c>
      <c r="Q470" s="13" t="n">
        <v>10761</v>
      </c>
      <c r="R470" s="13" t="n">
        <v>62102</v>
      </c>
      <c r="S470" s="13" t="n">
        <v>32543</v>
      </c>
      <c r="T470" s="13" t="n">
        <v>683</v>
      </c>
      <c r="U470" s="13" t="n">
        <v>408</v>
      </c>
      <c r="V470" s="13" t="n">
        <v>241</v>
      </c>
      <c r="W470" s="13" t="n">
        <v>541</v>
      </c>
      <c r="X470" s="13" t="n">
        <v>302</v>
      </c>
      <c r="Y470" s="13" t="n">
        <v>12508</v>
      </c>
      <c r="Z470" s="13" t="n">
        <v>1074</v>
      </c>
      <c r="AU470">
        <f>E470/VLOOKUP(A470,$A$179:$C$198,3,0)</f>
        <v/>
      </c>
      <c r="AV470">
        <f>N470/VLOOKUP(A470,$A$179:$C$198,3,0)</f>
        <v/>
      </c>
      <c r="AW470">
        <f>P470/VLOOKUP(A470,$A$179:$C$198,3,0)</f>
        <v/>
      </c>
      <c r="AZ470">
        <f>VLOOKUP(A470,Helpers!$B$4:$C$34,2,0)</f>
        <v/>
      </c>
      <c r="BA470">
        <f>IF(IF(COUNTIF($BF$467:$BF$486,BF470)&gt;1,TRUE,FALSE),"T"&amp;BF470,BF470)</f>
        <v/>
      </c>
      <c r="BB470">
        <f>IF(IF(COUNTIF($BF$467:$BF$486,BG470)&gt;1,TRUE,FALSE),"T"&amp;BG470,BG470)</f>
        <v/>
      </c>
      <c r="BC470">
        <f>IF(IF(COUNTIF($BF$467:$BF$486,BH470)&gt;1,TRUE,FALSE),"T"&amp;BH470,BH470)</f>
        <v/>
      </c>
      <c r="BF470">
        <f>RANK(AU470,AU$467:AU$486)</f>
        <v/>
      </c>
      <c r="BG470">
        <f>RANK(AV470,AV$467:AV$486)</f>
        <v/>
      </c>
      <c r="BH470">
        <f>RANK(AW470,AW$467:AW$486)</f>
        <v/>
      </c>
    </row>
    <row r="471">
      <c r="A471" s="3" t="inlineStr">
        <is>
          <t>vs Manchester City</t>
        </is>
      </c>
      <c r="B471" s="13" t="n">
        <v>30</v>
      </c>
      <c r="C471" s="13" t="n">
        <v>38.7</v>
      </c>
      <c r="D471" s="13" t="n">
        <v>38</v>
      </c>
      <c r="E471" s="13" t="n">
        <v>19488</v>
      </c>
      <c r="F471" s="13" t="n">
        <v>3154</v>
      </c>
      <c r="G471" s="13" t="n">
        <v>8514</v>
      </c>
      <c r="H471" s="13" t="n">
        <v>7370</v>
      </c>
      <c r="I471" s="13" t="n">
        <v>3783</v>
      </c>
      <c r="J471" s="13" t="n">
        <v>699</v>
      </c>
      <c r="K471" s="13" t="n">
        <v>19484</v>
      </c>
      <c r="L471" s="13" t="n">
        <v>523</v>
      </c>
      <c r="M471" s="13" t="n">
        <v>235</v>
      </c>
      <c r="N471" s="13" t="n">
        <v>44.9</v>
      </c>
      <c r="O471" s="13" t="n">
        <v>214</v>
      </c>
      <c r="P471" s="13" t="n">
        <v>40.9</v>
      </c>
      <c r="Q471" s="13" t="n">
        <v>10841</v>
      </c>
      <c r="R471" s="13" t="n">
        <v>55784</v>
      </c>
      <c r="S471" s="13" t="n">
        <v>27469</v>
      </c>
      <c r="T471" s="13" t="n">
        <v>546</v>
      </c>
      <c r="U471" s="13" t="n">
        <v>343</v>
      </c>
      <c r="V471" s="13" t="n">
        <v>164</v>
      </c>
      <c r="W471" s="13" t="n">
        <v>487</v>
      </c>
      <c r="X471" s="13" t="n">
        <v>283</v>
      </c>
      <c r="Y471" s="13" t="n">
        <v>12560</v>
      </c>
      <c r="Z471" s="13" t="n">
        <v>904</v>
      </c>
      <c r="AU471">
        <f>E471/VLOOKUP(A471,$A$179:$C$198,3,0)</f>
        <v/>
      </c>
      <c r="AV471">
        <f>N471/VLOOKUP(A471,$A$179:$C$198,3,0)</f>
        <v/>
      </c>
      <c r="AW471">
        <f>P471/VLOOKUP(A471,$A$179:$C$198,3,0)</f>
        <v/>
      </c>
      <c r="AZ471">
        <f>VLOOKUP(A471,Helpers!$B$4:$C$34,2,0)</f>
        <v/>
      </c>
      <c r="BA471">
        <f>IF(IF(COUNTIF($BF$467:$BF$486,BF471)&gt;1,TRUE,FALSE),"T"&amp;BF471,BF471)</f>
        <v/>
      </c>
      <c r="BB471">
        <f>IF(IF(COUNTIF($BF$467:$BF$486,BG471)&gt;1,TRUE,FALSE),"T"&amp;BG471,BG471)</f>
        <v/>
      </c>
      <c r="BC471">
        <f>IF(IF(COUNTIF($BF$467:$BF$486,BH471)&gt;1,TRUE,FALSE),"T"&amp;BH471,BH471)</f>
        <v/>
      </c>
      <c r="BF471">
        <f>RANK(AU471,AU$467:AU$486)</f>
        <v/>
      </c>
      <c r="BG471">
        <f>RANK(AV471,AV$467:AV$486)</f>
        <v/>
      </c>
      <c r="BH471">
        <f>RANK(AW471,AW$467:AW$486)</f>
        <v/>
      </c>
    </row>
    <row r="472">
      <c r="A472" s="3" t="inlineStr">
        <is>
          <t>vs Manchester Utd</t>
        </is>
      </c>
      <c r="B472" s="13" t="n">
        <v>31</v>
      </c>
      <c r="C472" s="13" t="n">
        <v>46.5</v>
      </c>
      <c r="D472" s="13" t="n">
        <v>38</v>
      </c>
      <c r="E472" s="13" t="n">
        <v>22105</v>
      </c>
      <c r="F472" s="13" t="n">
        <v>2507</v>
      </c>
      <c r="G472" s="13" t="n">
        <v>7059</v>
      </c>
      <c r="H472" s="13" t="n">
        <v>9848</v>
      </c>
      <c r="I472" s="13" t="n">
        <v>5437</v>
      </c>
      <c r="J472" s="13" t="n">
        <v>800</v>
      </c>
      <c r="K472" s="13" t="n">
        <v>22100</v>
      </c>
      <c r="L472" s="13" t="n">
        <v>775</v>
      </c>
      <c r="M472" s="13" t="n">
        <v>323</v>
      </c>
      <c r="N472" s="13" t="n">
        <v>41.7</v>
      </c>
      <c r="O472" s="13" t="n">
        <v>400</v>
      </c>
      <c r="P472" s="13" t="n">
        <v>51.6</v>
      </c>
      <c r="Q472" s="13" t="n">
        <v>12263</v>
      </c>
      <c r="R472" s="13" t="n">
        <v>65968</v>
      </c>
      <c r="S472" s="13" t="n">
        <v>33543</v>
      </c>
      <c r="T472" s="13" t="n">
        <v>672</v>
      </c>
      <c r="U472" s="13" t="n">
        <v>529</v>
      </c>
      <c r="V472" s="13" t="n">
        <v>184</v>
      </c>
      <c r="W472" s="13" t="n">
        <v>489</v>
      </c>
      <c r="X472" s="13" t="n">
        <v>417</v>
      </c>
      <c r="Y472" s="13" t="n">
        <v>14134</v>
      </c>
      <c r="Z472" s="13" t="n">
        <v>1172</v>
      </c>
      <c r="AU472">
        <f>E472/VLOOKUP(A472,$A$179:$C$198,3,0)</f>
        <v/>
      </c>
      <c r="AV472">
        <f>N472/VLOOKUP(A472,$A$179:$C$198,3,0)</f>
        <v/>
      </c>
      <c r="AW472">
        <f>P472/VLOOKUP(A472,$A$179:$C$198,3,0)</f>
        <v/>
      </c>
      <c r="AZ472">
        <f>VLOOKUP(A472,Helpers!$B$4:$C$34,2,0)</f>
        <v/>
      </c>
      <c r="BA472">
        <f>IF(IF(COUNTIF($BF$467:$BF$486,BF472)&gt;1,TRUE,FALSE),"T"&amp;BF472,BF472)</f>
        <v/>
      </c>
      <c r="BB472">
        <f>IF(IF(COUNTIF($BF$467:$BF$486,BG472)&gt;1,TRUE,FALSE),"T"&amp;BG472,BG472)</f>
        <v/>
      </c>
      <c r="BC472">
        <f>IF(IF(COUNTIF($BF$467:$BF$486,BH472)&gt;1,TRUE,FALSE),"T"&amp;BH472,BH472)</f>
        <v/>
      </c>
      <c r="BF472">
        <f>RANK(AU472,AU$467:AU$486)</f>
        <v/>
      </c>
      <c r="BG472">
        <f>RANK(AV472,AV$467:AV$486)</f>
        <v/>
      </c>
      <c r="BH472">
        <f>RANK(AW472,AW$467:AW$486)</f>
        <v/>
      </c>
    </row>
    <row r="473">
      <c r="A473" s="3" t="inlineStr">
        <is>
          <t>vs Newcastle Utd</t>
        </is>
      </c>
      <c r="B473" s="13" t="n">
        <v>24</v>
      </c>
      <c r="C473" s="13" t="n">
        <v>48.7</v>
      </c>
      <c r="D473" s="13" t="n">
        <v>38</v>
      </c>
      <c r="E473" s="13" t="n">
        <v>22228</v>
      </c>
      <c r="F473" s="13" t="n">
        <v>2680</v>
      </c>
      <c r="G473" s="13" t="n">
        <v>7157</v>
      </c>
      <c r="H473" s="13" t="n">
        <v>9564</v>
      </c>
      <c r="I473" s="13" t="n">
        <v>5732</v>
      </c>
      <c r="J473" s="13" t="n">
        <v>888</v>
      </c>
      <c r="K473" s="13" t="n">
        <v>22226</v>
      </c>
      <c r="L473" s="13" t="n">
        <v>687</v>
      </c>
      <c r="M473" s="13" t="n">
        <v>298</v>
      </c>
      <c r="N473" s="13" t="n">
        <v>43.4</v>
      </c>
      <c r="O473" s="13" t="n">
        <v>306</v>
      </c>
      <c r="P473" s="13" t="n">
        <v>44.5</v>
      </c>
      <c r="Q473" s="13" t="n">
        <v>12457</v>
      </c>
      <c r="R473" s="13" t="n">
        <v>65304</v>
      </c>
      <c r="S473" s="13" t="n">
        <v>33229</v>
      </c>
      <c r="T473" s="13" t="n">
        <v>667</v>
      </c>
      <c r="U473" s="13" t="n">
        <v>474</v>
      </c>
      <c r="V473" s="13" t="n">
        <v>223</v>
      </c>
      <c r="W473" s="13" t="n">
        <v>543</v>
      </c>
      <c r="X473" s="13" t="n">
        <v>297</v>
      </c>
      <c r="Y473" s="13" t="n">
        <v>14188</v>
      </c>
      <c r="Z473" s="13" t="n">
        <v>1260</v>
      </c>
      <c r="AU473">
        <f>E473/VLOOKUP(A473,$A$179:$C$198,3,0)</f>
        <v/>
      </c>
      <c r="AV473">
        <f>N473/VLOOKUP(A473,$A$179:$C$198,3,0)</f>
        <v/>
      </c>
      <c r="AW473">
        <f>P473/VLOOKUP(A473,$A$179:$C$198,3,0)</f>
        <v/>
      </c>
      <c r="AZ473">
        <f>VLOOKUP(A473,Helpers!$B$4:$C$34,2,0)</f>
        <v/>
      </c>
      <c r="BA473">
        <f>IF(IF(COUNTIF($BF$467:$BF$486,BF473)&gt;1,TRUE,FALSE),"T"&amp;BF473,BF473)</f>
        <v/>
      </c>
      <c r="BB473">
        <f>IF(IF(COUNTIF($BF$467:$BF$486,BG473)&gt;1,TRUE,FALSE),"T"&amp;BG473,BG473)</f>
        <v/>
      </c>
      <c r="BC473">
        <f>IF(IF(COUNTIF($BF$467:$BF$486,BH473)&gt;1,TRUE,FALSE),"T"&amp;BH473,BH473)</f>
        <v/>
      </c>
      <c r="BF473">
        <f>RANK(AU473,AU$467:AU$486)</f>
        <v/>
      </c>
      <c r="BG473">
        <f>RANK(AV473,AV$467:AV$486)</f>
        <v/>
      </c>
      <c r="BH473">
        <f>RANK(AW473,AW$467:AW$486)</f>
        <v/>
      </c>
    </row>
    <row r="474">
      <c r="A474" s="3" t="inlineStr">
        <is>
          <t>vs Nott'ham Forest</t>
        </is>
      </c>
      <c r="B474" s="13" t="n">
        <v>23</v>
      </c>
      <c r="C474" s="13" t="n">
        <v>58.8</v>
      </c>
      <c r="D474" s="13" t="n">
        <v>38</v>
      </c>
      <c r="E474" s="13" t="n">
        <v>24861</v>
      </c>
      <c r="F474" s="13" t="n">
        <v>2141</v>
      </c>
      <c r="G474" s="13" t="n">
        <v>6918</v>
      </c>
      <c r="H474" s="13" t="n">
        <v>11115</v>
      </c>
      <c r="I474" s="13" t="n">
        <v>7047</v>
      </c>
      <c r="J474" s="13" t="n">
        <v>1068</v>
      </c>
      <c r="K474" s="13" t="n">
        <v>24858</v>
      </c>
      <c r="L474" s="13" t="n">
        <v>755</v>
      </c>
      <c r="M474" s="13" t="n">
        <v>327</v>
      </c>
      <c r="N474" s="13" t="n">
        <v>43.3</v>
      </c>
      <c r="O474" s="13" t="n">
        <v>343</v>
      </c>
      <c r="P474" s="13" t="n">
        <v>45.4</v>
      </c>
      <c r="Q474" s="13" t="n">
        <v>14317</v>
      </c>
      <c r="R474" s="13" t="n">
        <v>84457</v>
      </c>
      <c r="S474" s="13" t="n">
        <v>48375</v>
      </c>
      <c r="T474" s="13" t="n">
        <v>966</v>
      </c>
      <c r="U474" s="13" t="n">
        <v>599</v>
      </c>
      <c r="V474" s="13" t="n">
        <v>245</v>
      </c>
      <c r="W474" s="13" t="n">
        <v>588</v>
      </c>
      <c r="X474" s="13" t="n">
        <v>355</v>
      </c>
      <c r="Y474" s="13" t="n">
        <v>16672</v>
      </c>
      <c r="Z474" s="13" t="n">
        <v>1868</v>
      </c>
      <c r="AU474">
        <f>E474/VLOOKUP(A474,$A$179:$C$198,3,0)</f>
        <v/>
      </c>
      <c r="AV474">
        <f>N474/VLOOKUP(A474,$A$179:$C$198,3,0)</f>
        <v/>
      </c>
      <c r="AW474">
        <f>P474/VLOOKUP(A474,$A$179:$C$198,3,0)</f>
        <v/>
      </c>
      <c r="AZ474">
        <f>VLOOKUP(A474,Helpers!$B$4:$C$34,2,0)</f>
        <v/>
      </c>
      <c r="BA474">
        <f>IF(IF(COUNTIF($BF$467:$BF$486,BF474)&gt;1,TRUE,FALSE),"T"&amp;BF474,BF474)</f>
        <v/>
      </c>
      <c r="BB474">
        <f>IF(IF(COUNTIF($BF$467:$BF$486,BG474)&gt;1,TRUE,FALSE),"T"&amp;BG474,BG474)</f>
        <v/>
      </c>
      <c r="BC474">
        <f>IF(IF(COUNTIF($BF$467:$BF$486,BH474)&gt;1,TRUE,FALSE),"T"&amp;BH474,BH474)</f>
        <v/>
      </c>
      <c r="BF474">
        <f>RANK(AU474,AU$467:AU$486)</f>
        <v/>
      </c>
      <c r="BG474">
        <f>RANK(AV474,AV$467:AV$486)</f>
        <v/>
      </c>
      <c r="BH474">
        <f>RANK(AW474,AW$467:AW$486)</f>
        <v/>
      </c>
    </row>
    <row r="475">
      <c r="A475" s="3" t="inlineStr">
        <is>
          <t>vs Southampton</t>
        </is>
      </c>
      <c r="B475" s="13" t="n">
        <v>36</v>
      </c>
      <c r="C475" s="13" t="n">
        <v>51.5</v>
      </c>
      <c r="D475" s="13" t="n">
        <v>38</v>
      </c>
      <c r="E475" s="13" t="n">
        <v>23778</v>
      </c>
      <c r="F475" s="13" t="n">
        <v>2130</v>
      </c>
      <c r="G475" s="13" t="n">
        <v>6772</v>
      </c>
      <c r="H475" s="13" t="n">
        <v>9944</v>
      </c>
      <c r="I475" s="13" t="n">
        <v>7291</v>
      </c>
      <c r="J475" s="13" t="n">
        <v>1264</v>
      </c>
      <c r="K475" s="13" t="n">
        <v>23769</v>
      </c>
      <c r="L475" s="13" t="n">
        <v>661</v>
      </c>
      <c r="M475" s="13" t="n">
        <v>304</v>
      </c>
      <c r="N475" s="13" t="n">
        <v>46</v>
      </c>
      <c r="O475" s="13" t="n">
        <v>280</v>
      </c>
      <c r="P475" s="13" t="n">
        <v>42.4</v>
      </c>
      <c r="Q475" s="13" t="n">
        <v>13724</v>
      </c>
      <c r="R475" s="13" t="n">
        <v>72045</v>
      </c>
      <c r="S475" s="13" t="n">
        <v>37999</v>
      </c>
      <c r="T475" s="13" t="n">
        <v>814</v>
      </c>
      <c r="U475" s="13" t="n">
        <v>548</v>
      </c>
      <c r="V475" s="13" t="n">
        <v>300</v>
      </c>
      <c r="W475" s="13" t="n">
        <v>429</v>
      </c>
      <c r="X475" s="13" t="n">
        <v>372</v>
      </c>
      <c r="Y475" s="13" t="n">
        <v>16411</v>
      </c>
      <c r="Z475" s="13" t="n">
        <v>1635</v>
      </c>
      <c r="AU475">
        <f>E475/VLOOKUP(A475,$A$179:$C$198,3,0)</f>
        <v/>
      </c>
      <c r="AV475">
        <f>N475/VLOOKUP(A475,$A$179:$C$198,3,0)</f>
        <v/>
      </c>
      <c r="AW475">
        <f>P475/VLOOKUP(A475,$A$179:$C$198,3,0)</f>
        <v/>
      </c>
      <c r="AZ475">
        <f>VLOOKUP(A475,Helpers!$B$4:$C$34,2,0)</f>
        <v/>
      </c>
      <c r="BA475">
        <f>IF(IF(COUNTIF($BF$467:$BF$486,BF475)&gt;1,TRUE,FALSE),"T"&amp;BF475,BF475)</f>
        <v/>
      </c>
      <c r="BB475">
        <f>IF(IF(COUNTIF($BF$467:$BF$486,BG475)&gt;1,TRUE,FALSE),"T"&amp;BG475,BG475)</f>
        <v/>
      </c>
      <c r="BC475">
        <f>IF(IF(COUNTIF($BF$467:$BF$486,BH475)&gt;1,TRUE,FALSE),"T"&amp;BH475,BH475)</f>
        <v/>
      </c>
      <c r="BF475">
        <f>RANK(AU475,AU$467:AU$486)</f>
        <v/>
      </c>
      <c r="BG475">
        <f>RANK(AV475,AV$467:AV$486)</f>
        <v/>
      </c>
      <c r="BH475">
        <f>RANK(AW475,AW$467:AW$486)</f>
        <v/>
      </c>
    </row>
    <row r="476">
      <c r="A476" s="3" t="inlineStr">
        <is>
          <t>vs Tottenham</t>
        </is>
      </c>
      <c r="B476" s="13" t="n">
        <v>31</v>
      </c>
      <c r="C476" s="13" t="n">
        <v>45.3</v>
      </c>
      <c r="D476" s="13" t="n">
        <v>38</v>
      </c>
      <c r="E476" s="13" t="n">
        <v>21039</v>
      </c>
      <c r="F476" s="13" t="n">
        <v>2561</v>
      </c>
      <c r="G476" s="13" t="n">
        <v>7305</v>
      </c>
      <c r="H476" s="13" t="n">
        <v>8457</v>
      </c>
      <c r="I476" s="13" t="n">
        <v>5517</v>
      </c>
      <c r="J476" s="13" t="n">
        <v>994</v>
      </c>
      <c r="K476" s="13" t="n">
        <v>21036</v>
      </c>
      <c r="L476" s="13" t="n">
        <v>693</v>
      </c>
      <c r="M476" s="13" t="n">
        <v>302</v>
      </c>
      <c r="N476" s="13" t="n">
        <v>43.6</v>
      </c>
      <c r="O476" s="13" t="n">
        <v>296</v>
      </c>
      <c r="P476" s="13" t="n">
        <v>42.7</v>
      </c>
      <c r="Q476" s="13" t="n">
        <v>11514</v>
      </c>
      <c r="R476" s="13" t="n">
        <v>60259</v>
      </c>
      <c r="S476" s="13" t="n">
        <v>29730</v>
      </c>
      <c r="T476" s="13" t="n">
        <v>660</v>
      </c>
      <c r="U476" s="13" t="n">
        <v>417</v>
      </c>
      <c r="V476" s="13" t="n">
        <v>220</v>
      </c>
      <c r="W476" s="13" t="n">
        <v>497</v>
      </c>
      <c r="X476" s="13" t="n">
        <v>365</v>
      </c>
      <c r="Y476" s="13" t="n">
        <v>12992</v>
      </c>
      <c r="Z476" s="13" t="n">
        <v>1316</v>
      </c>
      <c r="AU476">
        <f>E476/VLOOKUP(A476,$A$179:$C$198,3,0)</f>
        <v/>
      </c>
      <c r="AV476">
        <f>N476/VLOOKUP(A476,$A$179:$C$198,3,0)</f>
        <v/>
      </c>
      <c r="AW476">
        <f>P476/VLOOKUP(A476,$A$179:$C$198,3,0)</f>
        <v/>
      </c>
      <c r="AZ476">
        <f>VLOOKUP(A476,Helpers!$B$4:$C$34,2,0)</f>
        <v/>
      </c>
      <c r="BA476">
        <f>IF(IF(COUNTIF($BF$467:$BF$486,BF476)&gt;1,TRUE,FALSE),"T"&amp;BF476,BF476)</f>
        <v/>
      </c>
      <c r="BB476">
        <f>IF(IF(COUNTIF($BF$467:$BF$486,BG476)&gt;1,TRUE,FALSE),"T"&amp;BG476,BG476)</f>
        <v/>
      </c>
      <c r="BC476">
        <f>IF(IF(COUNTIF($BF$467:$BF$486,BH476)&gt;1,TRUE,FALSE),"T"&amp;BH476,BH476)</f>
        <v/>
      </c>
      <c r="BF476">
        <f>RANK(AU476,AU$467:AU$486)</f>
        <v/>
      </c>
      <c r="BG476">
        <f>RANK(AV476,AV$467:AV$486)</f>
        <v/>
      </c>
      <c r="BH476">
        <f>RANK(AW476,AW$467:AW$486)</f>
        <v/>
      </c>
    </row>
    <row r="477">
      <c r="A477" s="3" t="inlineStr">
        <is>
          <t>vs West Ham</t>
        </is>
      </c>
      <c r="B477" s="13" t="n">
        <v>27</v>
      </c>
      <c r="C477" s="13" t="n">
        <v>51.6</v>
      </c>
      <c r="D477" s="13" t="n">
        <v>38</v>
      </c>
      <c r="E477" s="13" t="n">
        <v>23805</v>
      </c>
      <c r="F477" s="13" t="n">
        <v>2423</v>
      </c>
      <c r="G477" s="13" t="n">
        <v>7191</v>
      </c>
      <c r="H477" s="13" t="n">
        <v>10213</v>
      </c>
      <c r="I477" s="13" t="n">
        <v>6620</v>
      </c>
      <c r="J477" s="13" t="n">
        <v>1094</v>
      </c>
      <c r="K477" s="13" t="n">
        <v>23802</v>
      </c>
      <c r="L477" s="13" t="n">
        <v>605</v>
      </c>
      <c r="M477" s="13" t="n">
        <v>242</v>
      </c>
      <c r="N477" s="13" t="n">
        <v>40</v>
      </c>
      <c r="O477" s="13" t="n">
        <v>290</v>
      </c>
      <c r="P477" s="13" t="n">
        <v>47.9</v>
      </c>
      <c r="Q477" s="13" t="n">
        <v>13771</v>
      </c>
      <c r="R477" s="13" t="n">
        <v>74244</v>
      </c>
      <c r="S477" s="13" t="n">
        <v>39404</v>
      </c>
      <c r="T477" s="13" t="n">
        <v>832</v>
      </c>
      <c r="U477" s="13" t="n">
        <v>510</v>
      </c>
      <c r="V477" s="13" t="n">
        <v>242</v>
      </c>
      <c r="W477" s="13" t="n">
        <v>512</v>
      </c>
      <c r="X477" s="13" t="n">
        <v>364</v>
      </c>
      <c r="Y477" s="13" t="n">
        <v>15670</v>
      </c>
      <c r="Z477" s="13" t="n">
        <v>1610</v>
      </c>
      <c r="AU477">
        <f>E477/VLOOKUP(A477,$A$179:$C$198,3,0)</f>
        <v/>
      </c>
      <c r="AV477">
        <f>N477/VLOOKUP(A477,$A$179:$C$198,3,0)</f>
        <v/>
      </c>
      <c r="AW477">
        <f>P477/VLOOKUP(A477,$A$179:$C$198,3,0)</f>
        <v/>
      </c>
      <c r="AZ477">
        <f>VLOOKUP(A477,Helpers!$B$4:$C$34,2,0)</f>
        <v/>
      </c>
      <c r="BA477">
        <f>IF(IF(COUNTIF($BF$467:$BF$486,BF477)&gt;1,TRUE,FALSE),"T"&amp;BF477,BF477)</f>
        <v/>
      </c>
      <c r="BB477">
        <f>IF(IF(COUNTIF($BF$467:$BF$486,BG477)&gt;1,TRUE,FALSE),"T"&amp;BG477,BG477)</f>
        <v/>
      </c>
      <c r="BC477">
        <f>IF(IF(COUNTIF($BF$467:$BF$486,BH477)&gt;1,TRUE,FALSE),"T"&amp;BH477,BH477)</f>
        <v/>
      </c>
      <c r="BF477">
        <f>RANK(AU477,AU$467:AU$486)</f>
        <v/>
      </c>
      <c r="BG477">
        <f>RANK(AV477,AV$467:AV$486)</f>
        <v/>
      </c>
      <c r="BH477">
        <f>RANK(AW477,AW$467:AW$486)</f>
        <v/>
      </c>
    </row>
    <row r="478">
      <c r="A478" s="3" t="inlineStr">
        <is>
          <t>vs Wolves</t>
        </is>
      </c>
      <c r="B478" s="13" t="n">
        <v>32</v>
      </c>
      <c r="C478" s="13" t="n">
        <v>51.9</v>
      </c>
      <c r="D478" s="13" t="n">
        <v>38</v>
      </c>
      <c r="E478" s="13" t="n">
        <v>23658</v>
      </c>
      <c r="F478" s="13" t="n">
        <v>2351</v>
      </c>
      <c r="G478" s="13" t="n">
        <v>7218</v>
      </c>
      <c r="H478" s="13" t="n">
        <v>10397</v>
      </c>
      <c r="I478" s="13" t="n">
        <v>6274</v>
      </c>
      <c r="J478" s="13" t="n">
        <v>982</v>
      </c>
      <c r="K478" s="13" t="n">
        <v>23649</v>
      </c>
      <c r="L478" s="13" t="n">
        <v>778</v>
      </c>
      <c r="M478" s="13" t="n">
        <v>296</v>
      </c>
      <c r="N478" s="13" t="n">
        <v>38</v>
      </c>
      <c r="O478" s="13" t="n">
        <v>373</v>
      </c>
      <c r="P478" s="13" t="n">
        <v>47.9</v>
      </c>
      <c r="Q478" s="13" t="n">
        <v>13159</v>
      </c>
      <c r="R478" s="13" t="n">
        <v>70747</v>
      </c>
      <c r="S478" s="13" t="n">
        <v>36766</v>
      </c>
      <c r="T478" s="13" t="n">
        <v>767</v>
      </c>
      <c r="U478" s="13" t="n">
        <v>520</v>
      </c>
      <c r="V478" s="13" t="n">
        <v>234</v>
      </c>
      <c r="W478" s="13" t="n">
        <v>557</v>
      </c>
      <c r="X478" s="13" t="n">
        <v>428</v>
      </c>
      <c r="Y478" s="13" t="n">
        <v>15750</v>
      </c>
      <c r="Z478" s="13" t="n">
        <v>1522</v>
      </c>
      <c r="AU478">
        <f>E478/VLOOKUP(A478,$A$179:$C$198,3,0)</f>
        <v/>
      </c>
      <c r="AV478">
        <f>N478/VLOOKUP(A478,$A$179:$C$198,3,0)</f>
        <v/>
      </c>
      <c r="AW478">
        <f>P478/VLOOKUP(A478,$A$179:$C$198,3,0)</f>
        <v/>
      </c>
      <c r="AZ478">
        <f>VLOOKUP(A478,Helpers!$B$4:$C$34,2,0)</f>
        <v/>
      </c>
      <c r="BA478">
        <f>IF(IF(COUNTIF($BF$467:$BF$486,BF478)&gt;1,TRUE,FALSE),"T"&amp;BF478,BF478)</f>
        <v/>
      </c>
      <c r="BB478">
        <f>IF(IF(COUNTIF($BF$467:$BF$486,BG478)&gt;1,TRUE,FALSE),"T"&amp;BG478,BG478)</f>
        <v/>
      </c>
      <c r="BC478">
        <f>IF(IF(COUNTIF($BF$467:$BF$486,BH478)&gt;1,TRUE,FALSE),"T"&amp;BH478,BH478)</f>
        <v/>
      </c>
      <c r="BF478">
        <f>RANK(AU478,AU$467:AU$486)</f>
        <v/>
      </c>
      <c r="BG478">
        <f>RANK(AV478,AV$467:AV$486)</f>
        <v/>
      </c>
      <c r="BH478">
        <f>RANK(AW478,AW$467:AW$486)</f>
        <v/>
      </c>
    </row>
    <row r="479">
      <c r="AU479">
        <f>E479/VLOOKUP(A479,$A$179:$C$198,3,0)</f>
        <v/>
      </c>
      <c r="AV479">
        <f>N479/VLOOKUP(A479,$A$179:$C$198,3,0)</f>
        <v/>
      </c>
      <c r="AW479">
        <f>P479/VLOOKUP(A479,$A$179:$C$198,3,0)</f>
        <v/>
      </c>
      <c r="AZ479">
        <f>VLOOKUP(A479,Helpers!$B$4:$C$34,2,0)</f>
        <v/>
      </c>
      <c r="BA479">
        <f>IF(IF(COUNTIF($BF$467:$BF$486,BF479)&gt;1,TRUE,FALSE),"T"&amp;BF479,BF479)</f>
        <v/>
      </c>
      <c r="BB479">
        <f>IF(IF(COUNTIF($BF$467:$BF$486,BG479)&gt;1,TRUE,FALSE),"T"&amp;BG479,BG479)</f>
        <v/>
      </c>
      <c r="BC479">
        <f>IF(IF(COUNTIF($BF$467:$BF$486,BH479)&gt;1,TRUE,FALSE),"T"&amp;BH479,BH479)</f>
        <v/>
      </c>
      <c r="BF479">
        <f>RANK(AU479,AU$467:AU$486)</f>
        <v/>
      </c>
      <c r="BG479">
        <f>RANK(AV479,AV$467:AV$486)</f>
        <v/>
      </c>
      <c r="BH479">
        <f>RANK(AW479,AW$467:AW$486)</f>
        <v/>
      </c>
    </row>
    <row r="480">
      <c r="A480" s="45" t="inlineStr">
        <is>
          <t>Squad Playing Time 2024-2025 Premier League Table</t>
        </is>
      </c>
      <c r="AU480">
        <f>E480/VLOOKUP(A480,$A$179:$C$198,3,0)</f>
        <v/>
      </c>
      <c r="AV480">
        <f>N480/VLOOKUP(A480,$A$179:$C$198,3,0)</f>
        <v/>
      </c>
      <c r="AW480">
        <f>P480/VLOOKUP(A480,$A$179:$C$198,3,0)</f>
        <v/>
      </c>
      <c r="AZ480">
        <f>VLOOKUP(A480,Helpers!$B$4:$C$34,2,0)</f>
        <v/>
      </c>
      <c r="BA480">
        <f>IF(IF(COUNTIF($BF$467:$BF$486,BF480)&gt;1,TRUE,FALSE),"T"&amp;BF480,BF480)</f>
        <v/>
      </c>
      <c r="BB480">
        <f>IF(IF(COUNTIF($BF$467:$BF$486,BG480)&gt;1,TRUE,FALSE),"T"&amp;BG480,BG480)</f>
        <v/>
      </c>
      <c r="BC480">
        <f>IF(IF(COUNTIF($BF$467:$BF$486,BH480)&gt;1,TRUE,FALSE),"T"&amp;BH480,BH480)</f>
        <v/>
      </c>
      <c r="BF480">
        <f>RANK(AU480,AU$467:AU$486)</f>
        <v/>
      </c>
      <c r="BG480">
        <f>RANK(AV480,AV$467:AV$486)</f>
        <v/>
      </c>
      <c r="BH480">
        <f>RANK(AW480,AW$467:AW$486)</f>
        <v/>
      </c>
    </row>
    <row r="481" ht="17.1" customHeight="1" s="43">
      <c r="A481" s="44" t="n"/>
      <c r="D481" s="44" t="inlineStr">
        <is>
          <t>Playing Time</t>
        </is>
      </c>
      <c r="I481" s="44" t="inlineStr">
        <is>
          <t>Starts</t>
        </is>
      </c>
      <c r="L481" s="44" t="inlineStr">
        <is>
          <t>Subs</t>
        </is>
      </c>
      <c r="O481" s="44" t="inlineStr">
        <is>
          <t>Team Success</t>
        </is>
      </c>
      <c r="T481" s="44" t="inlineStr">
        <is>
          <t>Team Success (xG)</t>
        </is>
      </c>
      <c r="AU481">
        <f>E481/VLOOKUP(A481,$A$179:$C$198,3,0)</f>
        <v/>
      </c>
      <c r="AV481">
        <f>N481/VLOOKUP(A481,$A$179:$C$198,3,0)</f>
        <v/>
      </c>
      <c r="AW481">
        <f>P481/VLOOKUP(A481,$A$179:$C$198,3,0)</f>
        <v/>
      </c>
      <c r="AZ481">
        <f>VLOOKUP(A481,Helpers!$B$4:$C$34,2,0)</f>
        <v/>
      </c>
      <c r="BA481">
        <f>IF(IF(COUNTIF($BF$467:$BF$486,BF481)&gt;1,TRUE,FALSE),"T"&amp;BF481,BF481)</f>
        <v/>
      </c>
      <c r="BB481">
        <f>IF(IF(COUNTIF($BF$467:$BF$486,BG481)&gt;1,TRUE,FALSE),"T"&amp;BG481,BG481)</f>
        <v/>
      </c>
      <c r="BC481">
        <f>IF(IF(COUNTIF($BF$467:$BF$486,BH481)&gt;1,TRUE,FALSE),"T"&amp;BH481,BH481)</f>
        <v/>
      </c>
      <c r="BF481">
        <f>RANK(AU481,AU$467:AU$486)</f>
        <v/>
      </c>
      <c r="BG481">
        <f>RANK(AV481,AV$467:AV$486)</f>
        <v/>
      </c>
      <c r="BH481">
        <f>RANK(AW481,AW$467:AW$486)</f>
        <v/>
      </c>
    </row>
    <row r="482">
      <c r="A482" s="44" t="inlineStr">
        <is>
          <t>Squad</t>
        </is>
      </c>
      <c r="B482" s="44" t="inlineStr">
        <is>
          <t># Pl</t>
        </is>
      </c>
      <c r="C482" s="44" t="inlineStr">
        <is>
          <t>Age</t>
        </is>
      </c>
      <c r="D482" s="44" t="inlineStr">
        <is>
          <t>MP</t>
        </is>
      </c>
      <c r="E482" s="44" t="inlineStr">
        <is>
          <t>Min</t>
        </is>
      </c>
      <c r="F482" s="44" t="inlineStr">
        <is>
          <t>Mn/MP</t>
        </is>
      </c>
      <c r="G482" s="44" t="inlineStr">
        <is>
          <t>Min%</t>
        </is>
      </c>
      <c r="H482" s="44" t="inlineStr">
        <is>
          <t>90s</t>
        </is>
      </c>
      <c r="I482" s="44" t="inlineStr">
        <is>
          <t>Starts</t>
        </is>
      </c>
      <c r="J482" s="44" t="inlineStr">
        <is>
          <t>Mn/Start</t>
        </is>
      </c>
      <c r="K482" s="44" t="inlineStr">
        <is>
          <t>Compl</t>
        </is>
      </c>
      <c r="L482" s="44" t="inlineStr">
        <is>
          <t>Subs</t>
        </is>
      </c>
      <c r="M482" s="44" t="inlineStr">
        <is>
          <t>Mn/Sub</t>
        </is>
      </c>
      <c r="N482" s="44" t="inlineStr">
        <is>
          <t>unSub</t>
        </is>
      </c>
      <c r="O482" s="44" t="inlineStr">
        <is>
          <t>PPM</t>
        </is>
      </c>
      <c r="P482" s="44" t="inlineStr">
        <is>
          <t>onG</t>
        </is>
      </c>
      <c r="Q482" s="44" t="inlineStr">
        <is>
          <t>onGA</t>
        </is>
      </c>
      <c r="R482" s="44" t="inlineStr">
        <is>
          <t>+/-</t>
        </is>
      </c>
      <c r="S482" s="44" t="inlineStr">
        <is>
          <t>+/-90</t>
        </is>
      </c>
      <c r="T482" s="44" t="inlineStr">
        <is>
          <t>onxG</t>
        </is>
      </c>
      <c r="U482" s="44" t="inlineStr">
        <is>
          <t>onxGA</t>
        </is>
      </c>
      <c r="V482" s="44" t="inlineStr">
        <is>
          <t>xG+/-</t>
        </is>
      </c>
      <c r="W482" s="44" t="inlineStr">
        <is>
          <t>xG+/-90</t>
        </is>
      </c>
      <c r="AU482">
        <f>E482/VLOOKUP(A482,$A$179:$C$198,3,0)</f>
        <v/>
      </c>
      <c r="AV482">
        <f>N482/VLOOKUP(A482,$A$179:$C$198,3,0)</f>
        <v/>
      </c>
      <c r="AW482">
        <f>P482/VLOOKUP(A482,$A$179:$C$198,3,0)</f>
        <v/>
      </c>
      <c r="AZ482">
        <f>VLOOKUP(A482,Helpers!$B$4:$C$34,2,0)</f>
        <v/>
      </c>
      <c r="BA482">
        <f>IF(IF(COUNTIF($BF$467:$BF$486,BF482)&gt;1,TRUE,FALSE),"T"&amp;BF482,BF482)</f>
        <v/>
      </c>
      <c r="BB482">
        <f>IF(IF(COUNTIF($BF$467:$BF$486,BG482)&gt;1,TRUE,FALSE),"T"&amp;BG482,BG482)</f>
        <v/>
      </c>
      <c r="BC482">
        <f>IF(IF(COUNTIF($BF$467:$BF$486,BH482)&gt;1,TRUE,FALSE),"T"&amp;BH482,BH482)</f>
        <v/>
      </c>
      <c r="BF482">
        <f>RANK(AU482,AU$467:AU$486)</f>
        <v/>
      </c>
      <c r="BG482">
        <f>RANK(AV482,AV$467:AV$486)</f>
        <v/>
      </c>
      <c r="BH482">
        <f>RANK(AW482,AW$467:AW$486)</f>
        <v/>
      </c>
    </row>
    <row r="483">
      <c r="A483" s="3" t="inlineStr">
        <is>
          <t>Arsenal</t>
        </is>
      </c>
      <c r="B483" s="13" t="n">
        <v>25</v>
      </c>
      <c r="C483" s="13" t="n">
        <v>25.8</v>
      </c>
      <c r="D483" s="13" t="n">
        <v>38</v>
      </c>
      <c r="E483" s="38" t="n">
        <v>3420</v>
      </c>
      <c r="F483" s="13" t="n">
        <v>90</v>
      </c>
      <c r="G483" s="13" t="n">
        <v>100</v>
      </c>
      <c r="H483" s="13" t="n">
        <v>38</v>
      </c>
      <c r="I483" s="13" t="n">
        <v>418</v>
      </c>
      <c r="J483" s="13" t="n">
        <v>83</v>
      </c>
      <c r="K483" s="13" t="n">
        <v>272</v>
      </c>
      <c r="L483" s="13" t="n">
        <v>142</v>
      </c>
      <c r="M483" s="13" t="n">
        <v>18</v>
      </c>
      <c r="N483" s="13" t="n">
        <v>200</v>
      </c>
      <c r="O483" s="13" t="n">
        <v>1.95</v>
      </c>
      <c r="P483" s="13" t="n">
        <v>69</v>
      </c>
      <c r="Q483" s="13" t="n">
        <v>34</v>
      </c>
      <c r="R483" s="13" t="n">
        <v>35</v>
      </c>
      <c r="S483" s="13" t="n">
        <v>0.92</v>
      </c>
      <c r="T483" s="13" t="n">
        <v>59.9</v>
      </c>
      <c r="U483" s="13" t="n">
        <v>34.4</v>
      </c>
      <c r="V483" s="13" t="n">
        <v>25.5</v>
      </c>
      <c r="W483" s="13" t="n">
        <v>0.67</v>
      </c>
      <c r="AU483">
        <f>E483/VLOOKUP(A483,$A$179:$C$198,3,0)</f>
        <v/>
      </c>
      <c r="AV483">
        <f>N483/VLOOKUP(A483,$A$179:$C$198,3,0)</f>
        <v/>
      </c>
      <c r="AW483">
        <f>P483/VLOOKUP(A483,$A$179:$C$198,3,0)</f>
        <v/>
      </c>
      <c r="AZ483">
        <f>VLOOKUP(A483,Helpers!$B$4:$C$34,2,0)</f>
        <v/>
      </c>
      <c r="BA483">
        <f>IF(IF(COUNTIF($BF$467:$BF$486,BF483)&gt;1,TRUE,FALSE),"T"&amp;BF483,BF483)</f>
        <v/>
      </c>
      <c r="BB483">
        <f>IF(IF(COUNTIF($BF$467:$BF$486,BG483)&gt;1,TRUE,FALSE),"T"&amp;BG483,BG483)</f>
        <v/>
      </c>
      <c r="BC483">
        <f>IF(IF(COUNTIF($BF$467:$BF$486,BH483)&gt;1,TRUE,FALSE),"T"&amp;BH483,BH483)</f>
        <v/>
      </c>
      <c r="BF483">
        <f>RANK(AU483,AU$467:AU$486)</f>
        <v/>
      </c>
      <c r="BG483">
        <f>RANK(AV483,AV$467:AV$486)</f>
        <v/>
      </c>
      <c r="BH483">
        <f>RANK(AW483,AW$467:AW$486)</f>
        <v/>
      </c>
    </row>
    <row r="484">
      <c r="A484" s="3" t="inlineStr">
        <is>
          <t>Aston Villa</t>
        </is>
      </c>
      <c r="B484" s="13" t="n">
        <v>28</v>
      </c>
      <c r="C484" s="13" t="n">
        <v>27</v>
      </c>
      <c r="D484" s="13" t="n">
        <v>38</v>
      </c>
      <c r="E484" s="38" t="n">
        <v>3420</v>
      </c>
      <c r="F484" s="13" t="n">
        <v>90</v>
      </c>
      <c r="G484" s="13" t="n">
        <v>100</v>
      </c>
      <c r="H484" s="13" t="n">
        <v>38</v>
      </c>
      <c r="I484" s="13" t="n">
        <v>418</v>
      </c>
      <c r="J484" s="13" t="n">
        <v>80</v>
      </c>
      <c r="K484" s="13" t="n">
        <v>246</v>
      </c>
      <c r="L484" s="13" t="n">
        <v>170</v>
      </c>
      <c r="M484" s="13" t="n">
        <v>23</v>
      </c>
      <c r="N484" s="13" t="n">
        <v>170</v>
      </c>
      <c r="O484" s="13" t="n">
        <v>1.74</v>
      </c>
      <c r="P484" s="13" t="n">
        <v>58</v>
      </c>
      <c r="Q484" s="13" t="n">
        <v>51</v>
      </c>
      <c r="R484" s="13" t="n">
        <v>7</v>
      </c>
      <c r="S484" s="13" t="n">
        <v>0.18</v>
      </c>
      <c r="T484" s="13" t="n">
        <v>56.1</v>
      </c>
      <c r="U484" s="13" t="n">
        <v>50.1</v>
      </c>
      <c r="V484" s="13" t="n">
        <v>5.9</v>
      </c>
      <c r="W484" s="13" t="n">
        <v>0.16</v>
      </c>
      <c r="AU484">
        <f>E484/VLOOKUP(A484,$A$179:$C$198,3,0)</f>
        <v/>
      </c>
      <c r="AV484">
        <f>N484/VLOOKUP(A484,$A$179:$C$198,3,0)</f>
        <v/>
      </c>
      <c r="AW484">
        <f>P484/VLOOKUP(A484,$A$179:$C$198,3,0)</f>
        <v/>
      </c>
      <c r="AZ484">
        <f>VLOOKUP(A484,Helpers!$B$4:$C$34,2,0)</f>
        <v/>
      </c>
      <c r="BA484">
        <f>IF(IF(COUNTIF($BF$467:$BF$486,BF484)&gt;1,TRUE,FALSE),"T"&amp;BF484,BF484)</f>
        <v/>
      </c>
      <c r="BB484">
        <f>IF(IF(COUNTIF($BF$467:$BF$486,BG484)&gt;1,TRUE,FALSE),"T"&amp;BG484,BG484)</f>
        <v/>
      </c>
      <c r="BC484">
        <f>IF(IF(COUNTIF($BF$467:$BF$486,BH484)&gt;1,TRUE,FALSE),"T"&amp;BH484,BH484)</f>
        <v/>
      </c>
      <c r="BF484">
        <f>RANK(AU484,AU$467:AU$486)</f>
        <v/>
      </c>
      <c r="BG484">
        <f>RANK(AV484,AV$467:AV$486)</f>
        <v/>
      </c>
      <c r="BH484">
        <f>RANK(AW484,AW$467:AW$486)</f>
        <v/>
      </c>
    </row>
    <row r="485" ht="18" customHeight="1" s="43">
      <c r="A485" s="3" t="inlineStr">
        <is>
          <t>Bournemouth</t>
        </is>
      </c>
      <c r="B485" s="13" t="n">
        <v>29</v>
      </c>
      <c r="C485" s="13" t="n">
        <v>25.1</v>
      </c>
      <c r="D485" s="13" t="n">
        <v>38</v>
      </c>
      <c r="E485" s="38" t="n">
        <v>3420</v>
      </c>
      <c r="F485" s="13" t="n">
        <v>90</v>
      </c>
      <c r="G485" s="13" t="n">
        <v>100</v>
      </c>
      <c r="H485" s="13" t="n">
        <v>38</v>
      </c>
      <c r="I485" s="13" t="n">
        <v>418</v>
      </c>
      <c r="J485" s="13" t="n">
        <v>83</v>
      </c>
      <c r="K485" s="13" t="n">
        <v>254</v>
      </c>
      <c r="L485" s="13" t="n">
        <v>162</v>
      </c>
      <c r="M485" s="13" t="n">
        <v>18</v>
      </c>
      <c r="N485" s="13" t="n">
        <v>180</v>
      </c>
      <c r="O485" s="13" t="n">
        <v>1.47</v>
      </c>
      <c r="P485" s="13" t="n">
        <v>58</v>
      </c>
      <c r="Q485" s="13" t="n">
        <v>46</v>
      </c>
      <c r="R485" s="13" t="n">
        <v>12</v>
      </c>
      <c r="S485" s="13" t="n">
        <v>0.32</v>
      </c>
      <c r="T485" s="13" t="n">
        <v>64</v>
      </c>
      <c r="U485" s="13" t="n">
        <v>48.5</v>
      </c>
      <c r="V485" s="13" t="n">
        <v>15.5</v>
      </c>
      <c r="W485" s="13" t="n">
        <v>0.41</v>
      </c>
      <c r="AU485">
        <f>E485/VLOOKUP(A485,$A$179:$C$198,3,0)</f>
        <v/>
      </c>
      <c r="AV485">
        <f>N485/VLOOKUP(A485,$A$179:$C$198,3,0)</f>
        <v/>
      </c>
      <c r="AW485">
        <f>P485/VLOOKUP(A485,$A$179:$C$198,3,0)</f>
        <v/>
      </c>
      <c r="AZ485">
        <f>VLOOKUP(A485,Helpers!$B$4:$C$34,2,0)</f>
        <v/>
      </c>
      <c r="BA485">
        <f>IF(IF(COUNTIF($BF$467:$BF$486,BF485)&gt;1,TRUE,FALSE),"T"&amp;BF485,BF485)</f>
        <v/>
      </c>
      <c r="BB485">
        <f>IF(IF(COUNTIF($BF$467:$BF$486,BG485)&gt;1,TRUE,FALSE),"T"&amp;BG485,BG485)</f>
        <v/>
      </c>
      <c r="BC485">
        <f>IF(IF(COUNTIF($BF$467:$BF$486,BH485)&gt;1,TRUE,FALSE),"T"&amp;BH485,BH485)</f>
        <v/>
      </c>
      <c r="BF485">
        <f>RANK(AU485,AU$467:AU$486)</f>
        <v/>
      </c>
      <c r="BG485">
        <f>RANK(AV485,AV$467:AV$486)</f>
        <v/>
      </c>
      <c r="BH485">
        <f>RANK(AW485,AW$467:AW$486)</f>
        <v/>
      </c>
    </row>
    <row r="486" ht="17.1" customHeight="1" s="43">
      <c r="A486" s="3" t="inlineStr">
        <is>
          <t>Brentford</t>
        </is>
      </c>
      <c r="B486" s="13" t="n">
        <v>28</v>
      </c>
      <c r="C486" s="13" t="n">
        <v>25.8</v>
      </c>
      <c r="D486" s="13" t="n">
        <v>38</v>
      </c>
      <c r="E486" s="38" t="n">
        <v>3420</v>
      </c>
      <c r="F486" s="13" t="n">
        <v>90</v>
      </c>
      <c r="G486" s="13" t="n">
        <v>100</v>
      </c>
      <c r="H486" s="13" t="n">
        <v>38</v>
      </c>
      <c r="I486" s="13" t="n">
        <v>418</v>
      </c>
      <c r="J486" s="13" t="n">
        <v>85</v>
      </c>
      <c r="K486" s="13" t="n">
        <v>277</v>
      </c>
      <c r="L486" s="13" t="n">
        <v>142</v>
      </c>
      <c r="M486" s="13" t="n">
        <v>15</v>
      </c>
      <c r="N486" s="13" t="n">
        <v>200</v>
      </c>
      <c r="O486" s="13" t="n">
        <v>1.47</v>
      </c>
      <c r="P486" s="13" t="n">
        <v>66</v>
      </c>
      <c r="Q486" s="13" t="n">
        <v>57</v>
      </c>
      <c r="R486" s="13" t="n">
        <v>9</v>
      </c>
      <c r="S486" s="13" t="n">
        <v>0.24</v>
      </c>
      <c r="T486" s="13" t="n">
        <v>59</v>
      </c>
      <c r="U486" s="13" t="n">
        <v>55.4</v>
      </c>
      <c r="V486" s="13" t="n">
        <v>3.6</v>
      </c>
      <c r="W486" s="13" t="n">
        <v>0.09</v>
      </c>
      <c r="AU486">
        <f>E486/VLOOKUP(A486,$A$179:$C$198,3,0)</f>
        <v/>
      </c>
      <c r="AV486">
        <f>N486/VLOOKUP(A486,$A$179:$C$198,3,0)</f>
        <v/>
      </c>
      <c r="AW486">
        <f>P486/VLOOKUP(A486,$A$179:$C$198,3,0)</f>
        <v/>
      </c>
      <c r="AZ486">
        <f>VLOOKUP(A486,Helpers!$B$4:$C$34,2,0)</f>
        <v/>
      </c>
      <c r="BA486">
        <f>IF(IF(COUNTIF($BF$467:$BF$486,BF486)&gt;1,TRUE,FALSE),"T"&amp;BF486,BF486)</f>
        <v/>
      </c>
      <c r="BB486">
        <f>IF(IF(COUNTIF($BF$467:$BF$486,BG486)&gt;1,TRUE,FALSE),"T"&amp;BG486,BG486)</f>
        <v/>
      </c>
      <c r="BC486">
        <f>IF(IF(COUNTIF($BF$467:$BF$486,BH486)&gt;1,TRUE,FALSE),"T"&amp;BH486,BH486)</f>
        <v/>
      </c>
      <c r="BF486">
        <f>RANK(AU486,AU$467:AU$486)</f>
        <v/>
      </c>
      <c r="BG486">
        <f>RANK(AV486,AV$467:AV$486)</f>
        <v/>
      </c>
      <c r="BH486">
        <f>RANK(AW486,AW$467:AW$486)</f>
        <v/>
      </c>
    </row>
    <row r="487">
      <c r="A487" s="3" t="inlineStr">
        <is>
          <t>Brighton</t>
        </is>
      </c>
      <c r="B487" s="13" t="n">
        <v>32</v>
      </c>
      <c r="C487" s="13" t="n">
        <v>24.8</v>
      </c>
      <c r="D487" s="13" t="n">
        <v>38</v>
      </c>
      <c r="E487" s="38" t="n">
        <v>3420</v>
      </c>
      <c r="F487" s="13" t="n">
        <v>90</v>
      </c>
      <c r="G487" s="13" t="n">
        <v>100</v>
      </c>
      <c r="H487" s="13" t="n">
        <v>38</v>
      </c>
      <c r="I487" s="13" t="n">
        <v>418</v>
      </c>
      <c r="J487" s="13" t="n">
        <v>82</v>
      </c>
      <c r="K487" s="13" t="n">
        <v>231</v>
      </c>
      <c r="L487" s="13" t="n">
        <v>184</v>
      </c>
      <c r="M487" s="13" t="n">
        <v>18</v>
      </c>
      <c r="N487" s="13" t="n">
        <v>158</v>
      </c>
      <c r="O487" s="13" t="n">
        <v>1.61</v>
      </c>
      <c r="P487" s="13" t="n">
        <v>66</v>
      </c>
      <c r="Q487" s="13" t="n">
        <v>59</v>
      </c>
      <c r="R487" s="13" t="n">
        <v>7</v>
      </c>
      <c r="S487" s="13" t="n">
        <v>0.18</v>
      </c>
      <c r="T487" s="13" t="n">
        <v>58.7</v>
      </c>
      <c r="U487" s="13" t="n">
        <v>54.6</v>
      </c>
      <c r="V487" s="13" t="n">
        <v>4.1</v>
      </c>
      <c r="W487" s="13" t="n">
        <v>0.11</v>
      </c>
    </row>
    <row r="488">
      <c r="A488" s="3" t="inlineStr">
        <is>
          <t>Chelsea</t>
        </is>
      </c>
      <c r="B488" s="13" t="n">
        <v>29</v>
      </c>
      <c r="C488" s="13" t="n">
        <v>23.7</v>
      </c>
      <c r="D488" s="13" t="n">
        <v>38</v>
      </c>
      <c r="E488" s="38" t="n">
        <v>3420</v>
      </c>
      <c r="F488" s="13" t="n">
        <v>90</v>
      </c>
      <c r="G488" s="13" t="n">
        <v>100</v>
      </c>
      <c r="H488" s="13" t="n">
        <v>38</v>
      </c>
      <c r="I488" s="13" t="n">
        <v>418</v>
      </c>
      <c r="J488" s="13" t="n">
        <v>83</v>
      </c>
      <c r="K488" s="13" t="n">
        <v>277</v>
      </c>
      <c r="L488" s="13" t="n">
        <v>140</v>
      </c>
      <c r="M488" s="13" t="n">
        <v>19</v>
      </c>
      <c r="N488" s="13" t="n">
        <v>202</v>
      </c>
      <c r="O488" s="13" t="n">
        <v>1.82</v>
      </c>
      <c r="P488" s="13" t="n">
        <v>64</v>
      </c>
      <c r="Q488" s="13" t="n">
        <v>43</v>
      </c>
      <c r="R488" s="13" t="n">
        <v>21</v>
      </c>
      <c r="S488" s="13" t="n">
        <v>0.55</v>
      </c>
      <c r="T488" s="13" t="n">
        <v>67.8</v>
      </c>
      <c r="U488" s="13" t="n">
        <v>47.3</v>
      </c>
      <c r="V488" s="13" t="n">
        <v>20.5</v>
      </c>
      <c r="W488" s="13" t="n">
        <v>0.54</v>
      </c>
    </row>
    <row r="489" ht="17.1" customHeight="1" s="43">
      <c r="A489" s="3" t="inlineStr">
        <is>
          <t>Crystal Palace</t>
        </is>
      </c>
      <c r="B489" s="13" t="n">
        <v>29</v>
      </c>
      <c r="C489" s="13" t="n">
        <v>26.2</v>
      </c>
      <c r="D489" s="13" t="n">
        <v>38</v>
      </c>
      <c r="E489" s="38" t="n">
        <v>3420</v>
      </c>
      <c r="F489" s="13" t="n">
        <v>90</v>
      </c>
      <c r="G489" s="13" t="n">
        <v>100</v>
      </c>
      <c r="H489" s="13" t="n">
        <v>38</v>
      </c>
      <c r="I489" s="13" t="n">
        <v>418</v>
      </c>
      <c r="J489" s="13" t="n">
        <v>83</v>
      </c>
      <c r="K489" s="13" t="n">
        <v>268</v>
      </c>
      <c r="L489" s="13" t="n">
        <v>148</v>
      </c>
      <c r="M489" s="13" t="n">
        <v>18</v>
      </c>
      <c r="N489" s="13" t="n">
        <v>192</v>
      </c>
      <c r="O489" s="13" t="n">
        <v>1.39</v>
      </c>
      <c r="P489" s="13" t="n">
        <v>51</v>
      </c>
      <c r="Q489" s="13" t="n">
        <v>51</v>
      </c>
      <c r="R489" s="13" t="n">
        <v>0</v>
      </c>
      <c r="S489" s="13" t="n">
        <v>0</v>
      </c>
      <c r="T489" s="13" t="n">
        <v>60.4</v>
      </c>
      <c r="U489" s="13" t="n">
        <v>49.1</v>
      </c>
      <c r="V489" s="13" t="n">
        <v>11.3</v>
      </c>
      <c r="W489" s="13" t="n">
        <v>0.3</v>
      </c>
    </row>
    <row r="490">
      <c r="A490" s="3" t="inlineStr">
        <is>
          <t>Everton</t>
        </is>
      </c>
      <c r="B490" s="13" t="n">
        <v>26</v>
      </c>
      <c r="C490" s="13" t="n">
        <v>28</v>
      </c>
      <c r="D490" s="13" t="n">
        <v>38</v>
      </c>
      <c r="E490" s="38" t="n">
        <v>3420</v>
      </c>
      <c r="F490" s="13" t="n">
        <v>90</v>
      </c>
      <c r="G490" s="13" t="n">
        <v>100</v>
      </c>
      <c r="H490" s="13" t="n">
        <v>38</v>
      </c>
      <c r="I490" s="13" t="n">
        <v>418</v>
      </c>
      <c r="J490" s="13" t="n">
        <v>84</v>
      </c>
      <c r="K490" s="13" t="n">
        <v>286</v>
      </c>
      <c r="L490" s="13" t="n">
        <v>130</v>
      </c>
      <c r="M490" s="13" t="n">
        <v>19</v>
      </c>
      <c r="N490" s="13" t="n">
        <v>211</v>
      </c>
      <c r="O490" s="13" t="n">
        <v>1.26</v>
      </c>
      <c r="P490" s="13" t="n">
        <v>42</v>
      </c>
      <c r="Q490" s="13" t="n">
        <v>44</v>
      </c>
      <c r="R490" s="13" t="n">
        <v>-2</v>
      </c>
      <c r="S490" s="13" t="n">
        <v>-0.05</v>
      </c>
      <c r="T490" s="13" t="n">
        <v>41.8</v>
      </c>
      <c r="U490" s="13" t="n">
        <v>46.2</v>
      </c>
      <c r="V490" s="13" t="n">
        <v>-4.5</v>
      </c>
      <c r="W490" s="13" t="n">
        <v>-0.12</v>
      </c>
    </row>
    <row r="491" ht="18" customHeight="1" s="43">
      <c r="A491" s="3" t="inlineStr">
        <is>
          <t>Fulham</t>
        </is>
      </c>
      <c r="B491" s="13" t="n">
        <v>26</v>
      </c>
      <c r="C491" s="13" t="n">
        <v>28.1</v>
      </c>
      <c r="D491" s="13" t="n">
        <v>38</v>
      </c>
      <c r="E491" s="38" t="n">
        <v>3420</v>
      </c>
      <c r="F491" s="13" t="n">
        <v>90</v>
      </c>
      <c r="G491" s="13" t="n">
        <v>100</v>
      </c>
      <c r="H491" s="13" t="n">
        <v>38</v>
      </c>
      <c r="I491" s="13" t="n">
        <v>418</v>
      </c>
      <c r="J491" s="13" t="n">
        <v>83</v>
      </c>
      <c r="K491" s="13" t="n">
        <v>239</v>
      </c>
      <c r="L491" s="13" t="n">
        <v>179</v>
      </c>
      <c r="M491" s="13" t="n">
        <v>17</v>
      </c>
      <c r="N491" s="13" t="n">
        <v>163</v>
      </c>
      <c r="O491" s="13" t="n">
        <v>1.42</v>
      </c>
      <c r="P491" s="13" t="n">
        <v>54</v>
      </c>
      <c r="Q491" s="13" t="n">
        <v>54</v>
      </c>
      <c r="R491" s="13" t="n">
        <v>0</v>
      </c>
      <c r="S491" s="13" t="n">
        <v>0</v>
      </c>
      <c r="T491" s="13" t="n">
        <v>49</v>
      </c>
      <c r="U491" s="13" t="n">
        <v>47.2</v>
      </c>
      <c r="V491" s="13" t="n">
        <v>1.8</v>
      </c>
      <c r="W491" s="13" t="n">
        <v>0.05</v>
      </c>
    </row>
    <row r="492" ht="17.1" customHeight="1" s="43">
      <c r="A492" s="3" t="inlineStr">
        <is>
          <t>Ipswich Town</t>
        </is>
      </c>
      <c r="B492" s="13" t="n">
        <v>32</v>
      </c>
      <c r="C492" s="13" t="n">
        <v>25.8</v>
      </c>
      <c r="D492" s="13" t="n">
        <v>38</v>
      </c>
      <c r="E492" s="38" t="n">
        <v>3420</v>
      </c>
      <c r="F492" s="13" t="n">
        <v>90</v>
      </c>
      <c r="G492" s="13" t="n">
        <v>100</v>
      </c>
      <c r="H492" s="13" t="n">
        <v>38</v>
      </c>
      <c r="I492" s="13" t="n">
        <v>418</v>
      </c>
      <c r="J492" s="13" t="n">
        <v>82</v>
      </c>
      <c r="K492" s="13" t="n">
        <v>237</v>
      </c>
      <c r="L492" s="13" t="n">
        <v>178</v>
      </c>
      <c r="M492" s="13" t="n">
        <v>17</v>
      </c>
      <c r="N492" s="13" t="n">
        <v>164</v>
      </c>
      <c r="O492" s="13" t="n">
        <v>0.58</v>
      </c>
      <c r="P492" s="13" t="n">
        <v>36</v>
      </c>
      <c r="Q492" s="13" t="n">
        <v>82</v>
      </c>
      <c r="R492" s="13" t="n">
        <v>-46</v>
      </c>
      <c r="S492" s="13" t="n">
        <v>-1.21</v>
      </c>
      <c r="T492" s="13" t="n">
        <v>34.4</v>
      </c>
      <c r="U492" s="13" t="n">
        <v>72.7</v>
      </c>
      <c r="V492" s="13" t="n">
        <v>-38.3</v>
      </c>
      <c r="W492" s="13" t="n">
        <v>-1.01</v>
      </c>
    </row>
    <row r="493">
      <c r="A493" s="3" t="inlineStr">
        <is>
          <t>Leicester City</t>
        </is>
      </c>
      <c r="B493" s="13" t="n">
        <v>32</v>
      </c>
      <c r="C493" s="13" t="n">
        <v>26.6</v>
      </c>
      <c r="D493" s="13" t="n">
        <v>38</v>
      </c>
      <c r="E493" s="38" t="n">
        <v>3420</v>
      </c>
      <c r="F493" s="13" t="n">
        <v>90</v>
      </c>
      <c r="G493" s="13" t="n">
        <v>100</v>
      </c>
      <c r="H493" s="13" t="n">
        <v>38</v>
      </c>
      <c r="I493" s="13" t="n">
        <v>418</v>
      </c>
      <c r="J493" s="13" t="n">
        <v>82</v>
      </c>
      <c r="K493" s="13" t="n">
        <v>250</v>
      </c>
      <c r="L493" s="13" t="n">
        <v>168</v>
      </c>
      <c r="M493" s="13" t="n">
        <v>19</v>
      </c>
      <c r="N493" s="13" t="n">
        <v>174</v>
      </c>
      <c r="O493" s="13" t="n">
        <v>0.66</v>
      </c>
      <c r="P493" s="13" t="n">
        <v>33</v>
      </c>
      <c r="Q493" s="13" t="n">
        <v>80</v>
      </c>
      <c r="R493" s="13" t="n">
        <v>-47</v>
      </c>
      <c r="S493" s="13" t="n">
        <v>-1.24</v>
      </c>
      <c r="T493" s="13" t="n">
        <v>32.6</v>
      </c>
      <c r="U493" s="13" t="n">
        <v>71.90000000000001</v>
      </c>
      <c r="V493" s="13" t="n">
        <v>-39.3</v>
      </c>
      <c r="W493" s="13" t="n">
        <v>-1.03</v>
      </c>
    </row>
    <row r="494">
      <c r="A494" s="3" t="inlineStr">
        <is>
          <t>Liverpool</t>
        </is>
      </c>
      <c r="B494" s="13" t="n">
        <v>24</v>
      </c>
      <c r="C494" s="13" t="n">
        <v>27.2</v>
      </c>
      <c r="D494" s="13" t="n">
        <v>38</v>
      </c>
      <c r="E494" s="38" t="n">
        <v>3420</v>
      </c>
      <c r="F494" s="13" t="n">
        <v>90</v>
      </c>
      <c r="G494" s="13" t="n">
        <v>100</v>
      </c>
      <c r="H494" s="13" t="n">
        <v>38</v>
      </c>
      <c r="I494" s="13" t="n">
        <v>418</v>
      </c>
      <c r="J494" s="13" t="n">
        <v>82</v>
      </c>
      <c r="K494" s="13" t="n">
        <v>252</v>
      </c>
      <c r="L494" s="13" t="n">
        <v>165</v>
      </c>
      <c r="M494" s="13" t="n">
        <v>20</v>
      </c>
      <c r="N494" s="13" t="n">
        <v>177</v>
      </c>
      <c r="O494" s="13" t="n">
        <v>2.21</v>
      </c>
      <c r="P494" s="13" t="n">
        <v>86</v>
      </c>
      <c r="Q494" s="13" t="n">
        <v>41</v>
      </c>
      <c r="R494" s="13" t="n">
        <v>45</v>
      </c>
      <c r="S494" s="13" t="n">
        <v>1.18</v>
      </c>
      <c r="T494" s="13" t="n">
        <v>82.2</v>
      </c>
      <c r="U494" s="13" t="n">
        <v>38.6</v>
      </c>
      <c r="V494" s="13" t="n">
        <v>43.6</v>
      </c>
      <c r="W494" s="13" t="n">
        <v>1.15</v>
      </c>
    </row>
    <row r="495">
      <c r="A495" s="3" t="inlineStr">
        <is>
          <t>Manchester City</t>
        </is>
      </c>
      <c r="B495" s="13" t="n">
        <v>30</v>
      </c>
      <c r="C495" s="13" t="n">
        <v>26.8</v>
      </c>
      <c r="D495" s="13" t="n">
        <v>38</v>
      </c>
      <c r="E495" s="38" t="n">
        <v>3420</v>
      </c>
      <c r="F495" s="13" t="n">
        <v>90</v>
      </c>
      <c r="G495" s="13" t="n">
        <v>100</v>
      </c>
      <c r="H495" s="13" t="n">
        <v>38</v>
      </c>
      <c r="I495" s="13" t="n">
        <v>418</v>
      </c>
      <c r="J495" s="13" t="n">
        <v>85</v>
      </c>
      <c r="K495" s="13" t="n">
        <v>286</v>
      </c>
      <c r="L495" s="13" t="n">
        <v>131</v>
      </c>
      <c r="M495" s="13" t="n">
        <v>16</v>
      </c>
      <c r="N495" s="13" t="n">
        <v>207</v>
      </c>
      <c r="O495" s="13" t="n">
        <v>1.87</v>
      </c>
      <c r="P495" s="13" t="n">
        <v>72</v>
      </c>
      <c r="Q495" s="13" t="n">
        <v>44</v>
      </c>
      <c r="R495" s="13" t="n">
        <v>28</v>
      </c>
      <c r="S495" s="13" t="n">
        <v>0.74</v>
      </c>
      <c r="T495" s="13" t="n">
        <v>68.09999999999999</v>
      </c>
      <c r="U495" s="13" t="n">
        <v>47.7</v>
      </c>
      <c r="V495" s="13" t="n">
        <v>20.4</v>
      </c>
      <c r="W495" s="13" t="n">
        <v>0.54</v>
      </c>
    </row>
    <row r="496">
      <c r="A496" s="3" t="inlineStr">
        <is>
          <t>Manchester Utd</t>
        </is>
      </c>
      <c r="B496" s="13" t="n">
        <v>31</v>
      </c>
      <c r="C496" s="13" t="n">
        <v>25.5</v>
      </c>
      <c r="D496" s="13" t="n">
        <v>38</v>
      </c>
      <c r="E496" s="38" t="n">
        <v>3420</v>
      </c>
      <c r="F496" s="13" t="n">
        <v>90</v>
      </c>
      <c r="G496" s="13" t="n">
        <v>100</v>
      </c>
      <c r="H496" s="13" t="n">
        <v>38</v>
      </c>
      <c r="I496" s="13" t="n">
        <v>418</v>
      </c>
      <c r="J496" s="13" t="n">
        <v>81</v>
      </c>
      <c r="K496" s="13" t="n">
        <v>256</v>
      </c>
      <c r="L496" s="13" t="n">
        <v>161</v>
      </c>
      <c r="M496" s="13" t="n">
        <v>23</v>
      </c>
      <c r="N496" s="13" t="n">
        <v>180</v>
      </c>
      <c r="O496" s="13" t="n">
        <v>1.11</v>
      </c>
      <c r="P496" s="13" t="n">
        <v>44</v>
      </c>
      <c r="Q496" s="13" t="n">
        <v>54</v>
      </c>
      <c r="R496" s="13" t="n">
        <v>-10</v>
      </c>
      <c r="S496" s="13" t="n">
        <v>-0.26</v>
      </c>
      <c r="T496" s="13" t="n">
        <v>52.6</v>
      </c>
      <c r="U496" s="13" t="n">
        <v>53.8</v>
      </c>
      <c r="V496" s="13" t="n">
        <v>-1.3</v>
      </c>
      <c r="W496" s="13" t="n">
        <v>-0.03</v>
      </c>
    </row>
    <row r="497">
      <c r="A497" s="3" t="inlineStr">
        <is>
          <t>Newcastle Utd</t>
        </is>
      </c>
      <c r="B497" s="13" t="n">
        <v>24</v>
      </c>
      <c r="C497" s="13" t="n">
        <v>27.4</v>
      </c>
      <c r="D497" s="13" t="n">
        <v>38</v>
      </c>
      <c r="E497" s="38" t="n">
        <v>3420</v>
      </c>
      <c r="F497" s="13" t="n">
        <v>90</v>
      </c>
      <c r="G497" s="13" t="n">
        <v>100</v>
      </c>
      <c r="H497" s="13" t="n">
        <v>38</v>
      </c>
      <c r="I497" s="13" t="n">
        <v>418</v>
      </c>
      <c r="J497" s="13" t="n">
        <v>83</v>
      </c>
      <c r="K497" s="13" t="n">
        <v>254</v>
      </c>
      <c r="L497" s="13" t="n">
        <v>163</v>
      </c>
      <c r="M497" s="13" t="n">
        <v>18</v>
      </c>
      <c r="N497" s="13" t="n">
        <v>179</v>
      </c>
      <c r="O497" s="13" t="n">
        <v>1.74</v>
      </c>
      <c r="P497" s="13" t="n">
        <v>68</v>
      </c>
      <c r="Q497" s="13" t="n">
        <v>47</v>
      </c>
      <c r="R497" s="13" t="n">
        <v>21</v>
      </c>
      <c r="S497" s="13" t="n">
        <v>0.55</v>
      </c>
      <c r="T497" s="13" t="n">
        <v>63.8</v>
      </c>
      <c r="U497" s="13" t="n">
        <v>45.5</v>
      </c>
      <c r="V497" s="13" t="n">
        <v>18.3</v>
      </c>
      <c r="W497" s="13" t="n">
        <v>0.48</v>
      </c>
    </row>
    <row r="498">
      <c r="A498" s="3" t="inlineStr">
        <is>
          <t>Nott'ham Forest</t>
        </is>
      </c>
      <c r="B498" s="13" t="n">
        <v>23</v>
      </c>
      <c r="C498" s="13" t="n">
        <v>26.1</v>
      </c>
      <c r="D498" s="13" t="n">
        <v>38</v>
      </c>
      <c r="E498" s="38" t="n">
        <v>3420</v>
      </c>
      <c r="F498" s="13" t="n">
        <v>90</v>
      </c>
      <c r="G498" s="13" t="n">
        <v>100</v>
      </c>
      <c r="H498" s="13" t="n">
        <v>38</v>
      </c>
      <c r="I498" s="13" t="n">
        <v>418</v>
      </c>
      <c r="J498" s="13" t="n">
        <v>83</v>
      </c>
      <c r="K498" s="13" t="n">
        <v>249</v>
      </c>
      <c r="L498" s="13" t="n">
        <v>167</v>
      </c>
      <c r="M498" s="13" t="n">
        <v>18</v>
      </c>
      <c r="N498" s="13" t="n">
        <v>174</v>
      </c>
      <c r="O498" s="13" t="n">
        <v>1.71</v>
      </c>
      <c r="P498" s="13" t="n">
        <v>58</v>
      </c>
      <c r="Q498" s="13" t="n">
        <v>46</v>
      </c>
      <c r="R498" s="13" t="n">
        <v>12</v>
      </c>
      <c r="S498" s="13" t="n">
        <v>0.32</v>
      </c>
      <c r="T498" s="13" t="n">
        <v>45.5</v>
      </c>
      <c r="U498" s="13" t="n">
        <v>48.9</v>
      </c>
      <c r="V498" s="13" t="n">
        <v>-3.4</v>
      </c>
      <c r="W498" s="13" t="n">
        <v>-0.09</v>
      </c>
    </row>
    <row r="499">
      <c r="A499" s="3" t="inlineStr">
        <is>
          <t>Southampton</t>
        </is>
      </c>
      <c r="B499" s="13" t="n">
        <v>36</v>
      </c>
      <c r="C499" s="13" t="n">
        <v>25.2</v>
      </c>
      <c r="D499" s="13" t="n">
        <v>38</v>
      </c>
      <c r="E499" s="38" t="n">
        <v>3420</v>
      </c>
      <c r="F499" s="13" t="n">
        <v>90</v>
      </c>
      <c r="G499" s="13" t="n">
        <v>100</v>
      </c>
      <c r="H499" s="13" t="n">
        <v>38</v>
      </c>
      <c r="I499" s="13" t="n">
        <v>418</v>
      </c>
      <c r="J499" s="13" t="n">
        <v>80</v>
      </c>
      <c r="K499" s="13" t="n">
        <v>237</v>
      </c>
      <c r="L499" s="13" t="n">
        <v>180</v>
      </c>
      <c r="M499" s="13" t="n">
        <v>22</v>
      </c>
      <c r="N499" s="13" t="n">
        <v>162</v>
      </c>
      <c r="O499" s="13" t="n">
        <v>0.32</v>
      </c>
      <c r="P499" s="13" t="n">
        <v>26</v>
      </c>
      <c r="Q499" s="13" t="n">
        <v>86</v>
      </c>
      <c r="R499" s="13" t="n">
        <v>-60</v>
      </c>
      <c r="S499" s="13" t="n">
        <v>-1.58</v>
      </c>
      <c r="T499" s="13" t="n">
        <v>32.7</v>
      </c>
      <c r="U499" s="13" t="n">
        <v>84.8</v>
      </c>
      <c r="V499" s="13" t="n">
        <v>-52.1</v>
      </c>
      <c r="W499" s="13" t="n">
        <v>-1.37</v>
      </c>
    </row>
    <row r="500">
      <c r="A500" s="3" t="inlineStr">
        <is>
          <t>Tottenham</t>
        </is>
      </c>
      <c r="B500" s="13" t="n">
        <v>31</v>
      </c>
      <c r="C500" s="13" t="n">
        <v>25</v>
      </c>
      <c r="D500" s="13" t="n">
        <v>38</v>
      </c>
      <c r="E500" s="38" t="n">
        <v>3420</v>
      </c>
      <c r="F500" s="13" t="n">
        <v>90</v>
      </c>
      <c r="G500" s="13" t="n">
        <v>100</v>
      </c>
      <c r="H500" s="13" t="n">
        <v>38</v>
      </c>
      <c r="I500" s="13" t="n">
        <v>418</v>
      </c>
      <c r="J500" s="13" t="n">
        <v>82</v>
      </c>
      <c r="K500" s="13" t="n">
        <v>261</v>
      </c>
      <c r="L500" s="13" t="n">
        <v>158</v>
      </c>
      <c r="M500" s="13" t="n">
        <v>22</v>
      </c>
      <c r="N500" s="13" t="n">
        <v>183</v>
      </c>
      <c r="O500" s="13" t="n">
        <v>1</v>
      </c>
      <c r="P500" s="13" t="n">
        <v>64</v>
      </c>
      <c r="Q500" s="13" t="n">
        <v>65</v>
      </c>
      <c r="R500" s="13" t="n">
        <v>-1</v>
      </c>
      <c r="S500" s="13" t="n">
        <v>-0.03</v>
      </c>
      <c r="T500" s="13" t="n">
        <v>58.8</v>
      </c>
      <c r="U500" s="13" t="n">
        <v>63.3</v>
      </c>
      <c r="V500" s="13" t="n">
        <v>-4.5</v>
      </c>
      <c r="W500" s="13" t="n">
        <v>-0.12</v>
      </c>
    </row>
    <row r="501">
      <c r="A501" s="3" t="inlineStr">
        <is>
          <t>West Ham</t>
        </is>
      </c>
      <c r="B501" s="13" t="n">
        <v>27</v>
      </c>
      <c r="C501" s="13" t="n">
        <v>28.1</v>
      </c>
      <c r="D501" s="13" t="n">
        <v>38</v>
      </c>
      <c r="E501" s="38" t="n">
        <v>3420</v>
      </c>
      <c r="F501" s="13" t="n">
        <v>90</v>
      </c>
      <c r="G501" s="13" t="n">
        <v>100</v>
      </c>
      <c r="H501" s="13" t="n">
        <v>38</v>
      </c>
      <c r="I501" s="13" t="n">
        <v>418</v>
      </c>
      <c r="J501" s="13" t="n">
        <v>81</v>
      </c>
      <c r="K501" s="13" t="n">
        <v>243</v>
      </c>
      <c r="L501" s="13" t="n">
        <v>172</v>
      </c>
      <c r="M501" s="13" t="n">
        <v>22</v>
      </c>
      <c r="N501" s="13" t="n">
        <v>170</v>
      </c>
      <c r="O501" s="13" t="n">
        <v>1.13</v>
      </c>
      <c r="P501" s="13" t="n">
        <v>46</v>
      </c>
      <c r="Q501" s="13" t="n">
        <v>62</v>
      </c>
      <c r="R501" s="13" t="n">
        <v>-16</v>
      </c>
      <c r="S501" s="13" t="n">
        <v>-0.42</v>
      </c>
      <c r="T501" s="13" t="n">
        <v>47</v>
      </c>
      <c r="U501" s="13" t="n">
        <v>59.7</v>
      </c>
      <c r="V501" s="13" t="n">
        <v>-12.7</v>
      </c>
      <c r="W501" s="13" t="n">
        <v>-0.33</v>
      </c>
    </row>
    <row r="502">
      <c r="A502" s="3" t="inlineStr">
        <is>
          <t>Wolves</t>
        </is>
      </c>
      <c r="B502" s="13" t="n">
        <v>32</v>
      </c>
      <c r="C502" s="13" t="n">
        <v>26.9</v>
      </c>
      <c r="D502" s="13" t="n">
        <v>38</v>
      </c>
      <c r="E502" s="38" t="n">
        <v>3420</v>
      </c>
      <c r="F502" s="13" t="n">
        <v>90</v>
      </c>
      <c r="G502" s="13" t="n">
        <v>100</v>
      </c>
      <c r="H502" s="13" t="n">
        <v>38</v>
      </c>
      <c r="I502" s="13" t="n">
        <v>418</v>
      </c>
      <c r="J502" s="13" t="n">
        <v>83</v>
      </c>
      <c r="K502" s="13" t="n">
        <v>250</v>
      </c>
      <c r="L502" s="13" t="n">
        <v>167</v>
      </c>
      <c r="M502" s="13" t="n">
        <v>18</v>
      </c>
      <c r="N502" s="13" t="n">
        <v>174</v>
      </c>
      <c r="O502" s="13" t="n">
        <v>1.11</v>
      </c>
      <c r="P502" s="13" t="n">
        <v>54</v>
      </c>
      <c r="Q502" s="13" t="n">
        <v>69</v>
      </c>
      <c r="R502" s="13" t="n">
        <v>-15</v>
      </c>
      <c r="S502" s="13" t="n">
        <v>-0.39</v>
      </c>
      <c r="T502" s="13" t="n">
        <v>43.7</v>
      </c>
      <c r="U502" s="13" t="n">
        <v>58.1</v>
      </c>
      <c r="V502" s="13" t="n">
        <v>-14.5</v>
      </c>
      <c r="W502" s="13" t="n">
        <v>-0.38</v>
      </c>
    </row>
    <row r="504">
      <c r="A504" s="45" t="inlineStr">
        <is>
          <t>Squad Playing Time 2024-2025 Premier League Table</t>
        </is>
      </c>
    </row>
    <row r="505" ht="17.1" customHeight="1" s="43">
      <c r="A505" s="44" t="n"/>
      <c r="D505" s="44" t="inlineStr">
        <is>
          <t>Playing Time</t>
        </is>
      </c>
      <c r="I505" s="44" t="inlineStr">
        <is>
          <t>Starts</t>
        </is>
      </c>
      <c r="L505" s="44" t="inlineStr">
        <is>
          <t>Subs</t>
        </is>
      </c>
      <c r="O505" s="44" t="inlineStr">
        <is>
          <t>Team Success</t>
        </is>
      </c>
      <c r="T505" s="44" t="inlineStr">
        <is>
          <t>Team Success (xG)</t>
        </is>
      </c>
    </row>
    <row r="506">
      <c r="A506" s="44" t="inlineStr">
        <is>
          <t>Squad</t>
        </is>
      </c>
      <c r="B506" s="44" t="inlineStr">
        <is>
          <t># Pl</t>
        </is>
      </c>
      <c r="C506" s="44" t="inlineStr">
        <is>
          <t>Age</t>
        </is>
      </c>
      <c r="D506" s="44" t="inlineStr">
        <is>
          <t>MP</t>
        </is>
      </c>
      <c r="E506" s="44" t="inlineStr">
        <is>
          <t>Min</t>
        </is>
      </c>
      <c r="F506" s="44" t="inlineStr">
        <is>
          <t>Mn/MP</t>
        </is>
      </c>
      <c r="G506" s="44" t="inlineStr">
        <is>
          <t>Min%</t>
        </is>
      </c>
      <c r="H506" s="44" t="inlineStr">
        <is>
          <t>90s</t>
        </is>
      </c>
      <c r="I506" s="44" t="inlineStr">
        <is>
          <t>Starts</t>
        </is>
      </c>
      <c r="J506" s="44" t="inlineStr">
        <is>
          <t>Mn/Start</t>
        </is>
      </c>
      <c r="K506" s="44" t="inlineStr">
        <is>
          <t>Compl</t>
        </is>
      </c>
      <c r="L506" s="44" t="inlineStr">
        <is>
          <t>Subs</t>
        </is>
      </c>
      <c r="M506" s="44" t="inlineStr">
        <is>
          <t>Mn/Sub</t>
        </is>
      </c>
      <c r="N506" s="44" t="inlineStr">
        <is>
          <t>unSub</t>
        </is>
      </c>
      <c r="O506" s="44" t="inlineStr">
        <is>
          <t>PPM</t>
        </is>
      </c>
      <c r="P506" s="44" t="inlineStr">
        <is>
          <t>onG</t>
        </is>
      </c>
      <c r="Q506" s="44" t="inlineStr">
        <is>
          <t>onGA</t>
        </is>
      </c>
      <c r="R506" s="44" t="inlineStr">
        <is>
          <t>+/-</t>
        </is>
      </c>
      <c r="S506" s="44" t="inlineStr">
        <is>
          <t>+/-90</t>
        </is>
      </c>
      <c r="T506" s="44" t="inlineStr">
        <is>
          <t>onxG</t>
        </is>
      </c>
      <c r="U506" s="44" t="inlineStr">
        <is>
          <t>onxGA</t>
        </is>
      </c>
      <c r="V506" s="44" t="inlineStr">
        <is>
          <t>xG+/-</t>
        </is>
      </c>
      <c r="W506" s="44" t="inlineStr">
        <is>
          <t>xG+/-90</t>
        </is>
      </c>
    </row>
    <row r="507" ht="18" customHeight="1" s="43">
      <c r="A507" s="3" t="inlineStr">
        <is>
          <t>vs Arsenal</t>
        </is>
      </c>
      <c r="B507" s="13" t="n">
        <v>25</v>
      </c>
      <c r="C507" s="13" t="n">
        <v>26.1</v>
      </c>
      <c r="D507" s="13" t="n">
        <v>38</v>
      </c>
      <c r="E507" s="38" t="n">
        <v>3420</v>
      </c>
      <c r="F507" s="13" t="n">
        <v>90</v>
      </c>
      <c r="G507" s="13" t="n">
        <v>100</v>
      </c>
      <c r="H507" s="13" t="n">
        <v>38</v>
      </c>
      <c r="I507" s="13" t="n">
        <v>418</v>
      </c>
      <c r="J507" s="13" t="n">
        <v>83</v>
      </c>
      <c r="K507" s="13" t="n">
        <v>259</v>
      </c>
      <c r="L507" s="13" t="n">
        <v>157</v>
      </c>
      <c r="M507" s="13" t="n">
        <v>21</v>
      </c>
      <c r="N507" s="13" t="n">
        <v>185</v>
      </c>
      <c r="O507" s="13" t="n">
        <v>0.68</v>
      </c>
      <c r="P507" s="13" t="n">
        <v>34</v>
      </c>
      <c r="Q507" s="13" t="n">
        <v>69</v>
      </c>
      <c r="R507" s="13" t="n">
        <v>-35</v>
      </c>
      <c r="S507" s="13" t="n">
        <v>-0.92</v>
      </c>
      <c r="T507" s="13" t="n">
        <v>34.4</v>
      </c>
      <c r="U507" s="13" t="n">
        <v>59.9</v>
      </c>
      <c r="V507" s="13" t="n">
        <v>-25.5</v>
      </c>
      <c r="W507" s="13" t="n">
        <v>-0.67</v>
      </c>
    </row>
    <row r="508" ht="17.1" customHeight="1" s="43">
      <c r="A508" s="3" t="inlineStr">
        <is>
          <t>vs Aston Villa</t>
        </is>
      </c>
      <c r="B508" s="13" t="n">
        <v>28</v>
      </c>
      <c r="C508" s="13" t="n">
        <v>26.3</v>
      </c>
      <c r="D508" s="13" t="n">
        <v>38</v>
      </c>
      <c r="E508" s="38" t="n">
        <v>3420</v>
      </c>
      <c r="F508" s="13" t="n">
        <v>90</v>
      </c>
      <c r="G508" s="13" t="n">
        <v>100</v>
      </c>
      <c r="H508" s="13" t="n">
        <v>38</v>
      </c>
      <c r="I508" s="13" t="n">
        <v>418</v>
      </c>
      <c r="J508" s="13" t="n">
        <v>80</v>
      </c>
      <c r="K508" s="13" t="n">
        <v>263</v>
      </c>
      <c r="L508" s="13" t="n">
        <v>157</v>
      </c>
      <c r="M508" s="13" t="n">
        <v>18</v>
      </c>
      <c r="N508" s="13" t="n">
        <v>185</v>
      </c>
      <c r="O508" s="13" t="n">
        <v>1.03</v>
      </c>
      <c r="P508" s="13" t="n">
        <v>51</v>
      </c>
      <c r="Q508" s="13" t="n">
        <v>58</v>
      </c>
      <c r="R508" s="13" t="n">
        <v>-7</v>
      </c>
      <c r="S508" s="13" t="n">
        <v>-0.18</v>
      </c>
      <c r="T508" s="13" t="n">
        <v>50.1</v>
      </c>
      <c r="U508" s="13" t="n">
        <v>56.1</v>
      </c>
      <c r="V508" s="13" t="n">
        <v>-5.9</v>
      </c>
      <c r="W508" s="13" t="n">
        <v>-0.16</v>
      </c>
    </row>
    <row r="509">
      <c r="A509" s="3" t="inlineStr">
        <is>
          <t>vs Bournemouth</t>
        </is>
      </c>
      <c r="B509" s="13" t="n">
        <v>29</v>
      </c>
      <c r="C509" s="13" t="n">
        <v>26.4</v>
      </c>
      <c r="D509" s="13" t="n">
        <v>38</v>
      </c>
      <c r="E509" s="38" t="n">
        <v>3420</v>
      </c>
      <c r="F509" s="13" t="n">
        <v>90</v>
      </c>
      <c r="G509" s="13" t="n">
        <v>100</v>
      </c>
      <c r="H509" s="13" t="n">
        <v>38</v>
      </c>
      <c r="I509" s="13" t="n">
        <v>418</v>
      </c>
      <c r="J509" s="13" t="n">
        <v>83</v>
      </c>
      <c r="K509" s="13" t="n">
        <v>254</v>
      </c>
      <c r="L509" s="13" t="n">
        <v>160</v>
      </c>
      <c r="M509" s="13" t="n">
        <v>20</v>
      </c>
      <c r="N509" s="13" t="n">
        <v>182</v>
      </c>
      <c r="O509" s="13" t="n">
        <v>1.24</v>
      </c>
      <c r="P509" s="13" t="n">
        <v>46</v>
      </c>
      <c r="Q509" s="13" t="n">
        <v>58</v>
      </c>
      <c r="R509" s="13" t="n">
        <v>-12</v>
      </c>
      <c r="S509" s="13" t="n">
        <v>-0.32</v>
      </c>
      <c r="T509" s="13" t="n">
        <v>48.5</v>
      </c>
      <c r="U509" s="13" t="n">
        <v>64</v>
      </c>
      <c r="V509" s="13" t="n">
        <v>-15.5</v>
      </c>
      <c r="W509" s="13" t="n">
        <v>-0.41</v>
      </c>
    </row>
    <row r="510">
      <c r="A510" s="3" t="inlineStr">
        <is>
          <t>vs Brentford</t>
        </is>
      </c>
      <c r="B510" s="13" t="n">
        <v>28</v>
      </c>
      <c r="C510" s="13" t="n">
        <v>26.4</v>
      </c>
      <c r="D510" s="13" t="n">
        <v>38</v>
      </c>
      <c r="E510" s="38" t="n">
        <v>3420</v>
      </c>
      <c r="F510" s="13" t="n">
        <v>90</v>
      </c>
      <c r="G510" s="13" t="n">
        <v>100</v>
      </c>
      <c r="H510" s="13" t="n">
        <v>38</v>
      </c>
      <c r="I510" s="13" t="n">
        <v>418</v>
      </c>
      <c r="J510" s="13" t="n">
        <v>85</v>
      </c>
      <c r="K510" s="13" t="n">
        <v>251</v>
      </c>
      <c r="L510" s="13" t="n">
        <v>165</v>
      </c>
      <c r="M510" s="13" t="n">
        <v>20</v>
      </c>
      <c r="N510" s="13" t="n">
        <v>177</v>
      </c>
      <c r="O510" s="13" t="n">
        <v>1.32</v>
      </c>
      <c r="P510" s="13" t="n">
        <v>57</v>
      </c>
      <c r="Q510" s="13" t="n">
        <v>66</v>
      </c>
      <c r="R510" s="13" t="n">
        <v>-9</v>
      </c>
      <c r="S510" s="13" t="n">
        <v>-0.24</v>
      </c>
      <c r="T510" s="13" t="n">
        <v>55.4</v>
      </c>
      <c r="U510" s="13" t="n">
        <v>59</v>
      </c>
      <c r="V510" s="13" t="n">
        <v>-3.6</v>
      </c>
      <c r="W510" s="13" t="n">
        <v>-0.09</v>
      </c>
    </row>
    <row r="511" ht="15.75" customHeight="1" s="43">
      <c r="A511" s="3" t="inlineStr">
        <is>
          <t>vs Brighton</t>
        </is>
      </c>
      <c r="B511" s="13" t="n">
        <v>32</v>
      </c>
      <c r="C511" s="13" t="n">
        <v>26.2</v>
      </c>
      <c r="D511" s="13" t="n">
        <v>38</v>
      </c>
      <c r="E511" s="38" t="n">
        <v>3420</v>
      </c>
      <c r="F511" s="13" t="n">
        <v>90</v>
      </c>
      <c r="G511" s="13" t="n">
        <v>100</v>
      </c>
      <c r="H511" s="13" t="n">
        <v>38</v>
      </c>
      <c r="I511" s="13" t="n">
        <v>418</v>
      </c>
      <c r="J511" s="13" t="n">
        <v>82</v>
      </c>
      <c r="K511" s="13" t="n">
        <v>254</v>
      </c>
      <c r="L511" s="13" t="n">
        <v>163</v>
      </c>
      <c r="M511" s="13" t="n">
        <v>20</v>
      </c>
      <c r="N511" s="13" t="n">
        <v>179</v>
      </c>
      <c r="O511" s="13" t="n">
        <v>1.05</v>
      </c>
      <c r="P511" s="13" t="n">
        <v>59</v>
      </c>
      <c r="Q511" s="13" t="n">
        <v>66</v>
      </c>
      <c r="R511" s="13" t="n">
        <v>-7</v>
      </c>
      <c r="S511" s="13" t="n">
        <v>-0.18</v>
      </c>
      <c r="T511" s="13" t="n">
        <v>54.6</v>
      </c>
      <c r="U511" s="13" t="n">
        <v>58.7</v>
      </c>
      <c r="V511" s="13" t="n">
        <v>-4.1</v>
      </c>
      <c r="W511" s="13" t="n">
        <v>-0.11</v>
      </c>
    </row>
    <row r="512">
      <c r="A512" s="3" t="inlineStr">
        <is>
          <t>vs Chelsea</t>
        </is>
      </c>
      <c r="B512" s="13" t="n">
        <v>29</v>
      </c>
      <c r="C512" s="13" t="n">
        <v>26.5</v>
      </c>
      <c r="D512" s="13" t="n">
        <v>38</v>
      </c>
      <c r="E512" s="38" t="n">
        <v>3420</v>
      </c>
      <c r="F512" s="13" t="n">
        <v>90</v>
      </c>
      <c r="G512" s="13" t="n">
        <v>100</v>
      </c>
      <c r="H512" s="13" t="n">
        <v>38</v>
      </c>
      <c r="I512" s="13" t="n">
        <v>418</v>
      </c>
      <c r="J512" s="13" t="n">
        <v>83</v>
      </c>
      <c r="K512" s="13" t="n">
        <v>263</v>
      </c>
      <c r="L512" s="13" t="n">
        <v>154</v>
      </c>
      <c r="M512" s="13" t="n">
        <v>19</v>
      </c>
      <c r="N512" s="13" t="n">
        <v>188</v>
      </c>
      <c r="O512" s="13" t="n">
        <v>0.95</v>
      </c>
      <c r="P512" s="13" t="n">
        <v>43</v>
      </c>
      <c r="Q512" s="13" t="n">
        <v>64</v>
      </c>
      <c r="R512" s="13" t="n">
        <v>-21</v>
      </c>
      <c r="S512" s="13" t="n">
        <v>-0.55</v>
      </c>
      <c r="T512" s="13" t="n">
        <v>47.3</v>
      </c>
      <c r="U512" s="13" t="n">
        <v>67.8</v>
      </c>
      <c r="V512" s="13" t="n">
        <v>-20.5</v>
      </c>
      <c r="W512" s="13" t="n">
        <v>-0.54</v>
      </c>
    </row>
    <row r="513" ht="18" customHeight="1" s="43">
      <c r="A513" s="3" t="inlineStr">
        <is>
          <t>vs Crystal Palace</t>
        </is>
      </c>
      <c r="B513" s="13" t="n">
        <v>29</v>
      </c>
      <c r="C513" s="13" t="n">
        <v>26.1</v>
      </c>
      <c r="D513" s="13" t="n">
        <v>38</v>
      </c>
      <c r="E513" s="38" t="n">
        <v>3420</v>
      </c>
      <c r="F513" s="13" t="n">
        <v>90</v>
      </c>
      <c r="G513" s="13" t="n">
        <v>100</v>
      </c>
      <c r="H513" s="13" t="n">
        <v>38</v>
      </c>
      <c r="I513" s="13" t="n">
        <v>418</v>
      </c>
      <c r="J513" s="13" t="n">
        <v>83</v>
      </c>
      <c r="K513" s="13" t="n">
        <v>259</v>
      </c>
      <c r="L513" s="13" t="n">
        <v>156</v>
      </c>
      <c r="M513" s="13" t="n">
        <v>20</v>
      </c>
      <c r="N513" s="13" t="n">
        <v>186</v>
      </c>
      <c r="O513" s="13" t="n">
        <v>1.24</v>
      </c>
      <c r="P513" s="13" t="n">
        <v>51</v>
      </c>
      <c r="Q513" s="13" t="n">
        <v>51</v>
      </c>
      <c r="R513" s="13" t="n">
        <v>0</v>
      </c>
      <c r="S513" s="13" t="n">
        <v>0</v>
      </c>
      <c r="T513" s="13" t="n">
        <v>49.1</v>
      </c>
      <c r="U513" s="13" t="n">
        <v>60.4</v>
      </c>
      <c r="V513" s="13" t="n">
        <v>-11.3</v>
      </c>
      <c r="W513" s="13" t="n">
        <v>-0.3</v>
      </c>
    </row>
    <row r="514" ht="15.95" customHeight="1" s="43">
      <c r="A514" s="3" t="inlineStr">
        <is>
          <t>vs Everton</t>
        </is>
      </c>
      <c r="B514" s="13" t="n">
        <v>26</v>
      </c>
      <c r="C514" s="13" t="n">
        <v>26.2</v>
      </c>
      <c r="D514" s="13" t="n">
        <v>38</v>
      </c>
      <c r="E514" s="38" t="n">
        <v>3420</v>
      </c>
      <c r="F514" s="13" t="n">
        <v>90</v>
      </c>
      <c r="G514" s="13" t="n">
        <v>100</v>
      </c>
      <c r="H514" s="13" t="n">
        <v>38</v>
      </c>
      <c r="I514" s="13" t="n">
        <v>418</v>
      </c>
      <c r="J514" s="13" t="n">
        <v>84</v>
      </c>
      <c r="K514" s="13" t="n">
        <v>266</v>
      </c>
      <c r="L514" s="13" t="n">
        <v>151</v>
      </c>
      <c r="M514" s="13" t="n">
        <v>18</v>
      </c>
      <c r="N514" s="13" t="n">
        <v>190</v>
      </c>
      <c r="O514" s="13" t="n">
        <v>1.34</v>
      </c>
      <c r="P514" s="13" t="n">
        <v>44</v>
      </c>
      <c r="Q514" s="13" t="n">
        <v>42</v>
      </c>
      <c r="R514" s="13" t="n">
        <v>2</v>
      </c>
      <c r="S514" s="13" t="n">
        <v>0.05</v>
      </c>
      <c r="T514" s="13" t="n">
        <v>46.2</v>
      </c>
      <c r="U514" s="13" t="n">
        <v>41.8</v>
      </c>
      <c r="V514" s="13" t="n">
        <v>4.5</v>
      </c>
      <c r="W514" s="13" t="n">
        <v>0.12</v>
      </c>
      <c r="BO514" s="26" t="inlineStr">
        <is>
          <t>Touches In Defending Penalty Area Per Game</t>
        </is>
      </c>
      <c r="BP514" s="26" t="inlineStr">
        <is>
          <t>Touches In Defensive Third Per Game</t>
        </is>
      </c>
      <c r="BQ514" s="26" t="inlineStr">
        <is>
          <t>Touches In Middle Third Per Game</t>
        </is>
      </c>
      <c r="BR514" s="26" t="inlineStr">
        <is>
          <t>Touches In Attacking Third Per Game</t>
        </is>
      </c>
      <c r="BS514" s="26" t="inlineStr">
        <is>
          <t>Touches In Attacking Penalty Area Per Game</t>
        </is>
      </c>
      <c r="BW514" s="25" t="inlineStr">
        <is>
          <t>Possession Percentage</t>
        </is>
      </c>
      <c r="BX514" s="25" t="inlineStr">
        <is>
          <t>Touches In Defending Penalty Area Per Game</t>
        </is>
      </c>
      <c r="BY514" s="25" t="inlineStr">
        <is>
          <t>Touches In Defensive Third Per Game</t>
        </is>
      </c>
      <c r="BZ514" s="25" t="inlineStr">
        <is>
          <t>Touches In Middle Third Per Game</t>
        </is>
      </c>
      <c r="CA514" s="25" t="inlineStr">
        <is>
          <t>Touches In Attacking Third Per Game</t>
        </is>
      </c>
      <c r="CB514" s="25" t="inlineStr">
        <is>
          <t>Touches In Attacking Penalty Area Per Game</t>
        </is>
      </c>
    </row>
    <row r="515">
      <c r="A515" s="3" t="inlineStr">
        <is>
          <t>vs Fulham</t>
        </is>
      </c>
      <c r="B515" s="13" t="n">
        <v>26</v>
      </c>
      <c r="C515" s="13" t="n">
        <v>26.3</v>
      </c>
      <c r="D515" s="13" t="n">
        <v>38</v>
      </c>
      <c r="E515" s="38" t="n">
        <v>3420</v>
      </c>
      <c r="F515" s="13" t="n">
        <v>90</v>
      </c>
      <c r="G515" s="13" t="n">
        <v>100</v>
      </c>
      <c r="H515" s="13" t="n">
        <v>38</v>
      </c>
      <c r="I515" s="13" t="n">
        <v>418</v>
      </c>
      <c r="J515" s="13" t="n">
        <v>83</v>
      </c>
      <c r="K515" s="13" t="n">
        <v>258</v>
      </c>
      <c r="L515" s="13" t="n">
        <v>160</v>
      </c>
      <c r="M515" s="13" t="n">
        <v>18</v>
      </c>
      <c r="N515" s="13" t="n">
        <v>181</v>
      </c>
      <c r="O515" s="13" t="n">
        <v>1.34</v>
      </c>
      <c r="P515" s="13" t="n">
        <v>54</v>
      </c>
      <c r="Q515" s="13" t="n">
        <v>54</v>
      </c>
      <c r="R515" s="13" t="n">
        <v>0</v>
      </c>
      <c r="S515" s="13" t="n">
        <v>0</v>
      </c>
      <c r="T515" s="13" t="n">
        <v>47.2</v>
      </c>
      <c r="U515" s="13" t="n">
        <v>49</v>
      </c>
      <c r="V515" s="13" t="n">
        <v>-1.8</v>
      </c>
      <c r="W515" s="13" t="n">
        <v>-0.05</v>
      </c>
      <c r="BN515">
        <f>VLOOKUP(A515,Helpers!$B$4:$C$31,2,0)</f>
        <v/>
      </c>
      <c r="BO515" s="2">
        <f>F515/VLOOKUP($A515,$A$131:$E$150,5,0)</f>
        <v/>
      </c>
      <c r="BP515" s="2">
        <f>G515/VLOOKUP($A515,$A$131:$E$150,5,0)</f>
        <v/>
      </c>
      <c r="BQ515" s="2">
        <f>H515/VLOOKUP($A515,$A$131:$E$150,5,0)</f>
        <v/>
      </c>
      <c r="BR515" s="2">
        <f>I515/VLOOKUP($A515,$A$131:$E$150,5,0)</f>
        <v/>
      </c>
      <c r="BS515" s="2">
        <f>J515/VLOOKUP($A515,$A$131:$E$150,5,0)</f>
        <v/>
      </c>
      <c r="BV515">
        <f>BN515</f>
        <v/>
      </c>
      <c r="BW515">
        <f>IF(IF(COUNTIF(CF$515:CF$534,CF515)&gt;1,TRUE,FALSE),"T"&amp;CF515,CF515)</f>
        <v/>
      </c>
      <c r="BX515">
        <f>IF(IF(COUNTIF(CG$515:CG$534,CG515)&gt;1,TRUE,FALSE),"T"&amp;CG515,CG515)</f>
        <v/>
      </c>
      <c r="BY515">
        <f>IF(IF(COUNTIF(CH$515:CH$534,CH515)&gt;1,TRUE,FALSE),"T"&amp;CH515,CH515)</f>
        <v/>
      </c>
      <c r="BZ515">
        <f>IF(IF(COUNTIF(CI$515:CI$534,CI515)&gt;1,TRUE,FALSE),"T"&amp;CI515,CI515)</f>
        <v/>
      </c>
      <c r="CA515">
        <f>IF(IF(COUNTIF(CJ$515:CJ$534,CJ515)&gt;1,TRUE,FALSE),"T"&amp;CJ515,CJ515)</f>
        <v/>
      </c>
      <c r="CB515">
        <f>IF(IF(COUNTIF(CK$515:CK$534,CK515)&gt;1,TRUE,FALSE),"T"&amp;CK515,CK515)</f>
        <v/>
      </c>
      <c r="CF515">
        <f>RANK(C515,C$515:C$534)</f>
        <v/>
      </c>
      <c r="CG515" s="2">
        <f>RANK(BO515,BO$515:BO$534)</f>
        <v/>
      </c>
      <c r="CH515" s="2">
        <f>RANK(BP515,BP$515:BP$534)</f>
        <v/>
      </c>
      <c r="CI515" s="2">
        <f>RANK(BQ515,BQ$515:BQ$534)</f>
        <v/>
      </c>
      <c r="CJ515" s="2">
        <f>RANK(BR515,BR$515:BR$534)</f>
        <v/>
      </c>
      <c r="CK515" s="2">
        <f>RANK(BS515,BS$515:BS$534)</f>
        <v/>
      </c>
    </row>
    <row r="516">
      <c r="A516" s="3" t="inlineStr">
        <is>
          <t>vs Ipswich Town</t>
        </is>
      </c>
      <c r="B516" s="13" t="n">
        <v>32</v>
      </c>
      <c r="C516" s="13" t="n">
        <v>26.3</v>
      </c>
      <c r="D516" s="13" t="n">
        <v>38</v>
      </c>
      <c r="E516" s="38" t="n">
        <v>3420</v>
      </c>
      <c r="F516" s="13" t="n">
        <v>90</v>
      </c>
      <c r="G516" s="13" t="n">
        <v>100</v>
      </c>
      <c r="H516" s="13" t="n">
        <v>38</v>
      </c>
      <c r="I516" s="13" t="n">
        <v>418</v>
      </c>
      <c r="J516" s="13" t="n">
        <v>82</v>
      </c>
      <c r="K516" s="13" t="n">
        <v>255</v>
      </c>
      <c r="L516" s="13" t="n">
        <v>162</v>
      </c>
      <c r="M516" s="13" t="n">
        <v>18</v>
      </c>
      <c r="N516" s="13" t="n">
        <v>178</v>
      </c>
      <c r="O516" s="13" t="n">
        <v>2.16</v>
      </c>
      <c r="P516" s="13" t="n">
        <v>82</v>
      </c>
      <c r="Q516" s="13" t="n">
        <v>36</v>
      </c>
      <c r="R516" s="13" t="n">
        <v>46</v>
      </c>
      <c r="S516" s="13" t="n">
        <v>1.21</v>
      </c>
      <c r="T516" s="13" t="n">
        <v>72.7</v>
      </c>
      <c r="U516" s="13" t="n">
        <v>34.4</v>
      </c>
      <c r="V516" s="13" t="n">
        <v>38.3</v>
      </c>
      <c r="W516" s="13" t="n">
        <v>1.01</v>
      </c>
      <c r="BN516">
        <f>VLOOKUP(A516,Helpers!$B$4:$C$31,2,0)</f>
        <v/>
      </c>
      <c r="BO516" s="2">
        <f>F516/VLOOKUP($A516,$A$131:$E$150,5,0)</f>
        <v/>
      </c>
      <c r="BP516" s="2">
        <f>G516/VLOOKUP($A516,$A$131:$E$150,5,0)</f>
        <v/>
      </c>
      <c r="BQ516" s="2">
        <f>H516/VLOOKUP($A516,$A$131:$E$150,5,0)</f>
        <v/>
      </c>
      <c r="BR516" s="2">
        <f>I516/VLOOKUP($A516,$A$131:$E$150,5,0)</f>
        <v/>
      </c>
      <c r="BS516" s="2">
        <f>J516/VLOOKUP($A516,$A$131:$E$150,5,0)</f>
        <v/>
      </c>
      <c r="BV516">
        <f>BN516</f>
        <v/>
      </c>
      <c r="BW516">
        <f>IF(IF(COUNTIF(CF$515:CF$534,CF516)&gt;1,TRUE,FALSE),"T"&amp;CF516,CF516)</f>
        <v/>
      </c>
      <c r="BX516">
        <f>IF(IF(COUNTIF(CG$515:CG$534,CG516)&gt;1,TRUE,FALSE),"T"&amp;CG516,CG516)</f>
        <v/>
      </c>
      <c r="BY516">
        <f>IF(IF(COUNTIF(CH$515:CH$534,CH516)&gt;1,TRUE,FALSE),"T"&amp;CH516,CH516)</f>
        <v/>
      </c>
      <c r="BZ516">
        <f>IF(IF(COUNTIF(CI$515:CI$534,CI516)&gt;1,TRUE,FALSE),"T"&amp;CI516,CI516)</f>
        <v/>
      </c>
      <c r="CA516">
        <f>IF(IF(COUNTIF(CJ$515:CJ$534,CJ516)&gt;1,TRUE,FALSE),"T"&amp;CJ516,CJ516)</f>
        <v/>
      </c>
      <c r="CB516">
        <f>IF(IF(COUNTIF(CK$515:CK$534,CK516)&gt;1,TRUE,FALSE),"T"&amp;CK516,CK516)</f>
        <v/>
      </c>
      <c r="CF516">
        <f>RANK(C516,C$515:C$534)</f>
        <v/>
      </c>
      <c r="CG516" s="2">
        <f>RANK(BO516,BO$515:BO$534)</f>
        <v/>
      </c>
      <c r="CH516" s="2">
        <f>RANK(BP516,BP$515:BP$534)</f>
        <v/>
      </c>
      <c r="CI516" s="2">
        <f>RANK(BQ516,BQ$515:BQ$534)</f>
        <v/>
      </c>
      <c r="CJ516" s="2">
        <f>RANK(BR516,BR$515:BR$534)</f>
        <v/>
      </c>
      <c r="CK516" s="2">
        <f>RANK(BS516,BS$515:BS$534)</f>
        <v/>
      </c>
    </row>
    <row r="517">
      <c r="A517" s="3" t="inlineStr">
        <is>
          <t>vs Leicester City</t>
        </is>
      </c>
      <c r="B517" s="13" t="n">
        <v>32</v>
      </c>
      <c r="C517" s="13" t="n">
        <v>26.3</v>
      </c>
      <c r="D517" s="13" t="n">
        <v>38</v>
      </c>
      <c r="E517" s="38" t="n">
        <v>3420</v>
      </c>
      <c r="F517" s="13" t="n">
        <v>90</v>
      </c>
      <c r="G517" s="13" t="n">
        <v>100</v>
      </c>
      <c r="H517" s="13" t="n">
        <v>38</v>
      </c>
      <c r="I517" s="13" t="n">
        <v>418</v>
      </c>
      <c r="J517" s="13" t="n">
        <v>82</v>
      </c>
      <c r="K517" s="13" t="n">
        <v>253</v>
      </c>
      <c r="L517" s="13" t="n">
        <v>165</v>
      </c>
      <c r="M517" s="13" t="n">
        <v>17</v>
      </c>
      <c r="N517" s="13" t="n">
        <v>175</v>
      </c>
      <c r="O517" s="13" t="n">
        <v>2.16</v>
      </c>
      <c r="P517" s="13" t="n">
        <v>80</v>
      </c>
      <c r="Q517" s="13" t="n">
        <v>33</v>
      </c>
      <c r="R517" s="13" t="n">
        <v>47</v>
      </c>
      <c r="S517" s="13" t="n">
        <v>1.24</v>
      </c>
      <c r="T517" s="13" t="n">
        <v>71.90000000000001</v>
      </c>
      <c r="U517" s="13" t="n">
        <v>32.6</v>
      </c>
      <c r="V517" s="13" t="n">
        <v>39.3</v>
      </c>
      <c r="W517" s="13" t="n">
        <v>1.03</v>
      </c>
      <c r="BN517">
        <f>VLOOKUP(A517,Helpers!$B$4:$C$31,2,0)</f>
        <v/>
      </c>
      <c r="BO517" s="2">
        <f>F517/VLOOKUP($A517,$A$131:$E$150,5,0)</f>
        <v/>
      </c>
      <c r="BP517" s="2">
        <f>G517/VLOOKUP($A517,$A$131:$E$150,5,0)</f>
        <v/>
      </c>
      <c r="BQ517" s="2">
        <f>H517/VLOOKUP($A517,$A$131:$E$150,5,0)</f>
        <v/>
      </c>
      <c r="BR517" s="2">
        <f>I517/VLOOKUP($A517,$A$131:$E$150,5,0)</f>
        <v/>
      </c>
      <c r="BS517" s="2">
        <f>J517/VLOOKUP($A517,$A$131:$E$150,5,0)</f>
        <v/>
      </c>
      <c r="BV517">
        <f>BN517</f>
        <v/>
      </c>
      <c r="BW517">
        <f>IF(IF(COUNTIF(CF$515:CF$534,CF517)&gt;1,TRUE,FALSE),"T"&amp;CF517,CF517)</f>
        <v/>
      </c>
      <c r="BX517">
        <f>IF(IF(COUNTIF(CG$515:CG$534,CG517)&gt;1,TRUE,FALSE),"T"&amp;CG517,CG517)</f>
        <v/>
      </c>
      <c r="BY517">
        <f>IF(IF(COUNTIF(CH$515:CH$534,CH517)&gt;1,TRUE,FALSE),"T"&amp;CH517,CH517)</f>
        <v/>
      </c>
      <c r="BZ517">
        <f>IF(IF(COUNTIF(CI$515:CI$534,CI517)&gt;1,TRUE,FALSE),"T"&amp;CI517,CI517)</f>
        <v/>
      </c>
      <c r="CA517">
        <f>IF(IF(COUNTIF(CJ$515:CJ$534,CJ517)&gt;1,TRUE,FALSE),"T"&amp;CJ517,CJ517)</f>
        <v/>
      </c>
      <c r="CB517">
        <f>IF(IF(COUNTIF(CK$515:CK$534,CK517)&gt;1,TRUE,FALSE),"T"&amp;CK517,CK517)</f>
        <v/>
      </c>
      <c r="CF517">
        <f>RANK(C517,C$515:C$534)</f>
        <v/>
      </c>
      <c r="CG517" s="2">
        <f>RANK(BO517,BO$515:BO$534)</f>
        <v/>
      </c>
      <c r="CH517" s="2">
        <f>RANK(BP517,BP$515:BP$534)</f>
        <v/>
      </c>
      <c r="CI517" s="2">
        <f>RANK(BQ517,BQ$515:BQ$534)</f>
        <v/>
      </c>
      <c r="CJ517" s="2">
        <f>RANK(BR517,BR$515:BR$534)</f>
        <v/>
      </c>
      <c r="CK517" s="2">
        <f>RANK(BS517,BS$515:BS$534)</f>
        <v/>
      </c>
    </row>
    <row r="518">
      <c r="A518" s="3" t="inlineStr">
        <is>
          <t>vs Liverpool</t>
        </is>
      </c>
      <c r="B518" s="13" t="n">
        <v>24</v>
      </c>
      <c r="C518" s="13" t="n">
        <v>26.1</v>
      </c>
      <c r="D518" s="13" t="n">
        <v>38</v>
      </c>
      <c r="E518" s="38" t="n">
        <v>3420</v>
      </c>
      <c r="F518" s="13" t="n">
        <v>90</v>
      </c>
      <c r="G518" s="13" t="n">
        <v>100</v>
      </c>
      <c r="H518" s="13" t="n">
        <v>38</v>
      </c>
      <c r="I518" s="13" t="n">
        <v>418</v>
      </c>
      <c r="J518" s="13" t="n">
        <v>82</v>
      </c>
      <c r="K518" s="13" t="n">
        <v>257</v>
      </c>
      <c r="L518" s="13" t="n">
        <v>160</v>
      </c>
      <c r="M518" s="13" t="n">
        <v>20</v>
      </c>
      <c r="N518" s="13" t="n">
        <v>179</v>
      </c>
      <c r="O518" s="13" t="n">
        <v>0.55</v>
      </c>
      <c r="P518" s="13" t="n">
        <v>41</v>
      </c>
      <c r="Q518" s="13" t="n">
        <v>86</v>
      </c>
      <c r="R518" s="13" t="n">
        <v>-45</v>
      </c>
      <c r="S518" s="13" t="n">
        <v>-1.18</v>
      </c>
      <c r="T518" s="13" t="n">
        <v>38.6</v>
      </c>
      <c r="U518" s="13" t="n">
        <v>82.2</v>
      </c>
      <c r="V518" s="13" t="n">
        <v>-43.6</v>
      </c>
      <c r="W518" s="13" t="n">
        <v>-1.15</v>
      </c>
      <c r="BN518">
        <f>VLOOKUP(A518,Helpers!$B$4:$C$31,2,0)</f>
        <v/>
      </c>
      <c r="BO518" s="2">
        <f>F518/VLOOKUP($A518,$A$131:$E$150,5,0)</f>
        <v/>
      </c>
      <c r="BP518" s="2">
        <f>G518/VLOOKUP($A518,$A$131:$E$150,5,0)</f>
        <v/>
      </c>
      <c r="BQ518" s="2">
        <f>H518/VLOOKUP($A518,$A$131:$E$150,5,0)</f>
        <v/>
      </c>
      <c r="BR518" s="2">
        <f>I518/VLOOKUP($A518,$A$131:$E$150,5,0)</f>
        <v/>
      </c>
      <c r="BS518" s="2">
        <f>J518/VLOOKUP($A518,$A$131:$E$150,5,0)</f>
        <v/>
      </c>
      <c r="BV518">
        <f>BN518</f>
        <v/>
      </c>
      <c r="BW518">
        <f>IF(IF(COUNTIF(CF$515:CF$534,CF518)&gt;1,TRUE,FALSE),"T"&amp;CF518,CF518)</f>
        <v/>
      </c>
      <c r="BX518">
        <f>IF(IF(COUNTIF(CG$515:CG$534,CG518)&gt;1,TRUE,FALSE),"T"&amp;CG518,CG518)</f>
        <v/>
      </c>
      <c r="BY518">
        <f>IF(IF(COUNTIF(CH$515:CH$534,CH518)&gt;1,TRUE,FALSE),"T"&amp;CH518,CH518)</f>
        <v/>
      </c>
      <c r="BZ518">
        <f>IF(IF(COUNTIF(CI$515:CI$534,CI518)&gt;1,TRUE,FALSE),"T"&amp;CI518,CI518)</f>
        <v/>
      </c>
      <c r="CA518">
        <f>IF(IF(COUNTIF(CJ$515:CJ$534,CJ518)&gt;1,TRUE,FALSE),"T"&amp;CJ518,CJ518)</f>
        <v/>
      </c>
      <c r="CB518">
        <f>IF(IF(COUNTIF(CK$515:CK$534,CK518)&gt;1,TRUE,FALSE),"T"&amp;CK518,CK518)</f>
        <v/>
      </c>
      <c r="CF518">
        <f>RANK(C518,C$515:C$534)</f>
        <v/>
      </c>
      <c r="CG518" s="2">
        <f>RANK(BO518,BO$515:BO$534)</f>
        <v/>
      </c>
      <c r="CH518" s="2">
        <f>RANK(BP518,BP$515:BP$534)</f>
        <v/>
      </c>
      <c r="CI518" s="2">
        <f>RANK(BQ518,BQ$515:BQ$534)</f>
        <v/>
      </c>
      <c r="CJ518" s="2">
        <f>RANK(BR518,BR$515:BR$534)</f>
        <v/>
      </c>
      <c r="CK518" s="2">
        <f>RANK(BS518,BS$515:BS$534)</f>
        <v/>
      </c>
    </row>
    <row r="519">
      <c r="A519" s="3" t="inlineStr">
        <is>
          <t>vs Manchester City</t>
        </is>
      </c>
      <c r="B519" s="13" t="n">
        <v>30</v>
      </c>
      <c r="C519" s="13" t="n">
        <v>26.2</v>
      </c>
      <c r="D519" s="13" t="n">
        <v>38</v>
      </c>
      <c r="E519" s="38" t="n">
        <v>3420</v>
      </c>
      <c r="F519" s="13" t="n">
        <v>90</v>
      </c>
      <c r="G519" s="13" t="n">
        <v>100</v>
      </c>
      <c r="H519" s="13" t="n">
        <v>38</v>
      </c>
      <c r="I519" s="13" t="n">
        <v>418</v>
      </c>
      <c r="J519" s="13" t="n">
        <v>85</v>
      </c>
      <c r="K519" s="13" t="n">
        <v>255</v>
      </c>
      <c r="L519" s="13" t="n">
        <v>161</v>
      </c>
      <c r="M519" s="13" t="n">
        <v>18</v>
      </c>
      <c r="N519" s="13" t="n">
        <v>180</v>
      </c>
      <c r="O519" s="13" t="n">
        <v>0.92</v>
      </c>
      <c r="P519" s="13" t="n">
        <v>44</v>
      </c>
      <c r="Q519" s="13" t="n">
        <v>72</v>
      </c>
      <c r="R519" s="13" t="n">
        <v>-28</v>
      </c>
      <c r="S519" s="13" t="n">
        <v>-0.74</v>
      </c>
      <c r="T519" s="13" t="n">
        <v>47.7</v>
      </c>
      <c r="U519" s="13" t="n">
        <v>68.09999999999999</v>
      </c>
      <c r="V519" s="13" t="n">
        <v>-20.4</v>
      </c>
      <c r="W519" s="13" t="n">
        <v>-0.54</v>
      </c>
      <c r="BN519">
        <f>VLOOKUP(A519,Helpers!$B$4:$C$31,2,0)</f>
        <v/>
      </c>
      <c r="BO519" s="2">
        <f>F519/VLOOKUP($A519,$A$131:$E$150,5,0)</f>
        <v/>
      </c>
      <c r="BP519" s="2">
        <f>G519/VLOOKUP($A519,$A$131:$E$150,5,0)</f>
        <v/>
      </c>
      <c r="BQ519" s="2">
        <f>H519/VLOOKUP($A519,$A$131:$E$150,5,0)</f>
        <v/>
      </c>
      <c r="BR519" s="2">
        <f>I519/VLOOKUP($A519,$A$131:$E$150,5,0)</f>
        <v/>
      </c>
      <c r="BS519" s="2">
        <f>J519/VLOOKUP($A519,$A$131:$E$150,5,0)</f>
        <v/>
      </c>
      <c r="BV519">
        <f>BN519</f>
        <v/>
      </c>
      <c r="BW519">
        <f>IF(IF(COUNTIF(CF$515:CF$534,CF519)&gt;1,TRUE,FALSE),"T"&amp;CF519,CF519)</f>
        <v/>
      </c>
      <c r="BX519">
        <f>IF(IF(COUNTIF(CG$515:CG$534,CG519)&gt;1,TRUE,FALSE),"T"&amp;CG519,CG519)</f>
        <v/>
      </c>
      <c r="BY519">
        <f>IF(IF(COUNTIF(CH$515:CH$534,CH519)&gt;1,TRUE,FALSE),"T"&amp;CH519,CH519)</f>
        <v/>
      </c>
      <c r="BZ519">
        <f>IF(IF(COUNTIF(CI$515:CI$534,CI519)&gt;1,TRUE,FALSE),"T"&amp;CI519,CI519)</f>
        <v/>
      </c>
      <c r="CA519">
        <f>IF(IF(COUNTIF(CJ$515:CJ$534,CJ519)&gt;1,TRUE,FALSE),"T"&amp;CJ519,CJ519)</f>
        <v/>
      </c>
      <c r="CB519">
        <f>IF(IF(COUNTIF(CK$515:CK$534,CK519)&gt;1,TRUE,FALSE),"T"&amp;CK519,CK519)</f>
        <v/>
      </c>
      <c r="CF519">
        <f>RANK(C519,C$515:C$534)</f>
        <v/>
      </c>
      <c r="CG519" s="2">
        <f>RANK(BO519,BO$515:BO$534)</f>
        <v/>
      </c>
      <c r="CH519" s="2">
        <f>RANK(BP519,BP$515:BP$534)</f>
        <v/>
      </c>
      <c r="CI519" s="2">
        <f>RANK(BQ519,BQ$515:BQ$534)</f>
        <v/>
      </c>
      <c r="CJ519" s="2">
        <f>RANK(BR519,BR$515:BR$534)</f>
        <v/>
      </c>
      <c r="CK519" s="2">
        <f>RANK(BS519,BS$515:BS$534)</f>
        <v/>
      </c>
    </row>
    <row r="520">
      <c r="A520" s="3" t="inlineStr">
        <is>
          <t>vs Manchester Utd</t>
        </is>
      </c>
      <c r="B520" s="13" t="n">
        <v>31</v>
      </c>
      <c r="C520" s="13" t="n">
        <v>26.4</v>
      </c>
      <c r="D520" s="13" t="n">
        <v>38</v>
      </c>
      <c r="E520" s="38" t="n">
        <v>3420</v>
      </c>
      <c r="F520" s="13" t="n">
        <v>90</v>
      </c>
      <c r="G520" s="13" t="n">
        <v>100</v>
      </c>
      <c r="H520" s="13" t="n">
        <v>38</v>
      </c>
      <c r="I520" s="13" t="n">
        <v>418</v>
      </c>
      <c r="J520" s="13" t="n">
        <v>81</v>
      </c>
      <c r="K520" s="13" t="n">
        <v>256</v>
      </c>
      <c r="L520" s="13" t="n">
        <v>159</v>
      </c>
      <c r="M520" s="13" t="n">
        <v>17</v>
      </c>
      <c r="N520" s="13" t="n">
        <v>183</v>
      </c>
      <c r="O520" s="13" t="n">
        <v>1.66</v>
      </c>
      <c r="P520" s="13" t="n">
        <v>54</v>
      </c>
      <c r="Q520" s="13" t="n">
        <v>44</v>
      </c>
      <c r="R520" s="13" t="n">
        <v>10</v>
      </c>
      <c r="S520" s="13" t="n">
        <v>0.26</v>
      </c>
      <c r="T520" s="13" t="n">
        <v>53.8</v>
      </c>
      <c r="U520" s="13" t="n">
        <v>52.6</v>
      </c>
      <c r="V520" s="13" t="n">
        <v>1.3</v>
      </c>
      <c r="W520" s="13" t="n">
        <v>0.03</v>
      </c>
      <c r="BN520">
        <f>VLOOKUP(A520,Helpers!$B$4:$C$31,2,0)</f>
        <v/>
      </c>
      <c r="BO520" s="2">
        <f>F520/VLOOKUP($A520,$A$131:$E$150,5,0)</f>
        <v/>
      </c>
      <c r="BP520" s="2">
        <f>G520/VLOOKUP($A520,$A$131:$E$150,5,0)</f>
        <v/>
      </c>
      <c r="BQ520" s="2">
        <f>H520/VLOOKUP($A520,$A$131:$E$150,5,0)</f>
        <v/>
      </c>
      <c r="BR520" s="2">
        <f>I520/VLOOKUP($A520,$A$131:$E$150,5,0)</f>
        <v/>
      </c>
      <c r="BS520" s="2">
        <f>J520/VLOOKUP($A520,$A$131:$E$150,5,0)</f>
        <v/>
      </c>
      <c r="BV520">
        <f>BN520</f>
        <v/>
      </c>
      <c r="BW520">
        <f>IF(IF(COUNTIF(CF$515:CF$534,CF520)&gt;1,TRUE,FALSE),"T"&amp;CF520,CF520)</f>
        <v/>
      </c>
      <c r="BX520">
        <f>IF(IF(COUNTIF(CG$515:CG$534,CG520)&gt;1,TRUE,FALSE),"T"&amp;CG520,CG520)</f>
        <v/>
      </c>
      <c r="BY520">
        <f>IF(IF(COUNTIF(CH$515:CH$534,CH520)&gt;1,TRUE,FALSE),"T"&amp;CH520,CH520)</f>
        <v/>
      </c>
      <c r="BZ520">
        <f>IF(IF(COUNTIF(CI$515:CI$534,CI520)&gt;1,TRUE,FALSE),"T"&amp;CI520,CI520)</f>
        <v/>
      </c>
      <c r="CA520">
        <f>IF(IF(COUNTIF(CJ$515:CJ$534,CJ520)&gt;1,TRUE,FALSE),"T"&amp;CJ520,CJ520)</f>
        <v/>
      </c>
      <c r="CB520">
        <f>IF(IF(COUNTIF(CK$515:CK$534,CK520)&gt;1,TRUE,FALSE),"T"&amp;CK520,CK520)</f>
        <v/>
      </c>
      <c r="CF520">
        <f>RANK(C520,C$515:C$534)</f>
        <v/>
      </c>
      <c r="CG520" s="2">
        <f>RANK(BO520,BO$515:BO$534)</f>
        <v/>
      </c>
      <c r="CH520" s="2">
        <f>RANK(BP520,BP$515:BP$534)</f>
        <v/>
      </c>
      <c r="CI520" s="2">
        <f>RANK(BQ520,BQ$515:BQ$534)</f>
        <v/>
      </c>
      <c r="CJ520" s="2">
        <f>RANK(BR520,BR$515:BR$534)</f>
        <v/>
      </c>
      <c r="CK520" s="2">
        <f>RANK(BS520,BS$515:BS$534)</f>
        <v/>
      </c>
    </row>
    <row r="521">
      <c r="A521" s="3" t="inlineStr">
        <is>
          <t>vs Newcastle Utd</t>
        </is>
      </c>
      <c r="B521" s="13" t="n">
        <v>24</v>
      </c>
      <c r="C521" s="13" t="n">
        <v>26.3</v>
      </c>
      <c r="D521" s="13" t="n">
        <v>38</v>
      </c>
      <c r="E521" s="38" t="n">
        <v>3420</v>
      </c>
      <c r="F521" s="13" t="n">
        <v>90</v>
      </c>
      <c r="G521" s="13" t="n">
        <v>100</v>
      </c>
      <c r="H521" s="13" t="n">
        <v>38</v>
      </c>
      <c r="I521" s="13" t="n">
        <v>418</v>
      </c>
      <c r="J521" s="13" t="n">
        <v>83</v>
      </c>
      <c r="K521" s="13" t="n">
        <v>254</v>
      </c>
      <c r="L521" s="13" t="n">
        <v>161</v>
      </c>
      <c r="M521" s="13" t="n">
        <v>19</v>
      </c>
      <c r="N521" s="13" t="n">
        <v>180</v>
      </c>
      <c r="O521" s="13" t="n">
        <v>1.11</v>
      </c>
      <c r="P521" s="13" t="n">
        <v>47</v>
      </c>
      <c r="Q521" s="13" t="n">
        <v>68</v>
      </c>
      <c r="R521" s="13" t="n">
        <v>-21</v>
      </c>
      <c r="S521" s="13" t="n">
        <v>-0.55</v>
      </c>
      <c r="T521" s="13" t="n">
        <v>45.5</v>
      </c>
      <c r="U521" s="13" t="n">
        <v>63.8</v>
      </c>
      <c r="V521" s="13" t="n">
        <v>-18.3</v>
      </c>
      <c r="W521" s="13" t="n">
        <v>-0.48</v>
      </c>
      <c r="BN521">
        <f>VLOOKUP(A521,Helpers!$B$4:$C$31,2,0)</f>
        <v/>
      </c>
      <c r="BO521" s="2">
        <f>F521/VLOOKUP($A521,$A$131:$E$150,5,0)</f>
        <v/>
      </c>
      <c r="BP521" s="2">
        <f>G521/VLOOKUP($A521,$A$131:$E$150,5,0)</f>
        <v/>
      </c>
      <c r="BQ521" s="2">
        <f>H521/VLOOKUP($A521,$A$131:$E$150,5,0)</f>
        <v/>
      </c>
      <c r="BR521" s="2">
        <f>I521/VLOOKUP($A521,$A$131:$E$150,5,0)</f>
        <v/>
      </c>
      <c r="BS521" s="2">
        <f>J521/VLOOKUP($A521,$A$131:$E$150,5,0)</f>
        <v/>
      </c>
      <c r="BV521">
        <f>BN521</f>
        <v/>
      </c>
      <c r="BW521">
        <f>IF(IF(COUNTIF(CF$515:CF$534,CF521)&gt;1,TRUE,FALSE),"T"&amp;CF521,CF521)</f>
        <v/>
      </c>
      <c r="BX521">
        <f>IF(IF(COUNTIF(CG$515:CG$534,CG521)&gt;1,TRUE,FALSE),"T"&amp;CG521,CG521)</f>
        <v/>
      </c>
      <c r="BY521">
        <f>IF(IF(COUNTIF(CH$515:CH$534,CH521)&gt;1,TRUE,FALSE),"T"&amp;CH521,CH521)</f>
        <v/>
      </c>
      <c r="BZ521">
        <f>IF(IF(COUNTIF(CI$515:CI$534,CI521)&gt;1,TRUE,FALSE),"T"&amp;CI521,CI521)</f>
        <v/>
      </c>
      <c r="CA521">
        <f>IF(IF(COUNTIF(CJ$515:CJ$534,CJ521)&gt;1,TRUE,FALSE),"T"&amp;CJ521,CJ521)</f>
        <v/>
      </c>
      <c r="CB521">
        <f>IF(IF(COUNTIF(CK$515:CK$534,CK521)&gt;1,TRUE,FALSE),"T"&amp;CK521,CK521)</f>
        <v/>
      </c>
      <c r="CF521">
        <f>RANK(C521,C$515:C$534)</f>
        <v/>
      </c>
      <c r="CG521" s="2">
        <f>RANK(BO521,BO$515:BO$534)</f>
        <v/>
      </c>
      <c r="CH521" s="2">
        <f>RANK(BP521,BP$515:BP$534)</f>
        <v/>
      </c>
      <c r="CI521" s="2">
        <f>RANK(BQ521,BQ$515:BQ$534)</f>
        <v/>
      </c>
      <c r="CJ521" s="2">
        <f>RANK(BR521,BR$515:BR$534)</f>
        <v/>
      </c>
      <c r="CK521" s="2">
        <f>RANK(BS521,BS$515:BS$534)</f>
        <v/>
      </c>
    </row>
    <row r="522">
      <c r="A522" s="3" t="inlineStr">
        <is>
          <t>vs Nott'ham Forest</t>
        </is>
      </c>
      <c r="B522" s="13" t="n">
        <v>23</v>
      </c>
      <c r="C522" s="13" t="n">
        <v>26.2</v>
      </c>
      <c r="D522" s="13" t="n">
        <v>38</v>
      </c>
      <c r="E522" s="38" t="n">
        <v>3420</v>
      </c>
      <c r="F522" s="13" t="n">
        <v>90</v>
      </c>
      <c r="G522" s="13" t="n">
        <v>100</v>
      </c>
      <c r="H522" s="13" t="n">
        <v>38</v>
      </c>
      <c r="I522" s="13" t="n">
        <v>418</v>
      </c>
      <c r="J522" s="13" t="n">
        <v>83</v>
      </c>
      <c r="K522" s="13" t="n">
        <v>255</v>
      </c>
      <c r="L522" s="13" t="n">
        <v>162</v>
      </c>
      <c r="M522" s="13" t="n">
        <v>20</v>
      </c>
      <c r="N522" s="13" t="n">
        <v>180</v>
      </c>
      <c r="O522" s="13" t="n">
        <v>1.08</v>
      </c>
      <c r="P522" s="13" t="n">
        <v>46</v>
      </c>
      <c r="Q522" s="13" t="n">
        <v>58</v>
      </c>
      <c r="R522" s="13" t="n">
        <v>-12</v>
      </c>
      <c r="S522" s="13" t="n">
        <v>-0.32</v>
      </c>
      <c r="T522" s="13" t="n">
        <v>48.9</v>
      </c>
      <c r="U522" s="13" t="n">
        <v>45.5</v>
      </c>
      <c r="V522" s="13" t="n">
        <v>3.4</v>
      </c>
      <c r="W522" s="13" t="n">
        <v>0.09</v>
      </c>
      <c r="BN522">
        <f>VLOOKUP(A522,Helpers!$B$4:$C$31,2,0)</f>
        <v/>
      </c>
      <c r="BO522" s="2">
        <f>F522/VLOOKUP($A522,$A$131:$E$150,5,0)</f>
        <v/>
      </c>
      <c r="BP522" s="2">
        <f>G522/VLOOKUP($A522,$A$131:$E$150,5,0)</f>
        <v/>
      </c>
      <c r="BQ522" s="2">
        <f>H522/VLOOKUP($A522,$A$131:$E$150,5,0)</f>
        <v/>
      </c>
      <c r="BR522" s="2">
        <f>I522/VLOOKUP($A522,$A$131:$E$150,5,0)</f>
        <v/>
      </c>
      <c r="BS522" s="2">
        <f>J522/VLOOKUP($A522,$A$131:$E$150,5,0)</f>
        <v/>
      </c>
      <c r="BV522">
        <f>BN522</f>
        <v/>
      </c>
      <c r="BW522">
        <f>IF(IF(COUNTIF(CF$515:CF$534,CF522)&gt;1,TRUE,FALSE),"T"&amp;CF522,CF522)</f>
        <v/>
      </c>
      <c r="BX522">
        <f>IF(IF(COUNTIF(CG$515:CG$534,CG522)&gt;1,TRUE,FALSE),"T"&amp;CG522,CG522)</f>
        <v/>
      </c>
      <c r="BY522">
        <f>IF(IF(COUNTIF(CH$515:CH$534,CH522)&gt;1,TRUE,FALSE),"T"&amp;CH522,CH522)</f>
        <v/>
      </c>
      <c r="BZ522">
        <f>IF(IF(COUNTIF(CI$515:CI$534,CI522)&gt;1,TRUE,FALSE),"T"&amp;CI522,CI522)</f>
        <v/>
      </c>
      <c r="CA522">
        <f>IF(IF(COUNTIF(CJ$515:CJ$534,CJ522)&gt;1,TRUE,FALSE),"T"&amp;CJ522,CJ522)</f>
        <v/>
      </c>
      <c r="CB522">
        <f>IF(IF(COUNTIF(CK$515:CK$534,CK522)&gt;1,TRUE,FALSE),"T"&amp;CK522,CK522)</f>
        <v/>
      </c>
      <c r="CF522">
        <f>RANK(C522,C$515:C$534)</f>
        <v/>
      </c>
      <c r="CG522" s="2">
        <f>RANK(BO522,BO$515:BO$534)</f>
        <v/>
      </c>
      <c r="CH522" s="2">
        <f>RANK(BP522,BP$515:BP$534)</f>
        <v/>
      </c>
      <c r="CI522" s="2">
        <f>RANK(BQ522,BQ$515:BQ$534)</f>
        <v/>
      </c>
      <c r="CJ522" s="2">
        <f>RANK(BR522,BR$515:BR$534)</f>
        <v/>
      </c>
      <c r="CK522" s="2">
        <f>RANK(BS522,BS$515:BS$534)</f>
        <v/>
      </c>
    </row>
    <row r="523">
      <c r="A523" s="3" t="inlineStr">
        <is>
          <t>vs Southampton</t>
        </is>
      </c>
      <c r="B523" s="13" t="n">
        <v>36</v>
      </c>
      <c r="C523" s="13" t="n">
        <v>26.2</v>
      </c>
      <c r="D523" s="13" t="n">
        <v>38</v>
      </c>
      <c r="E523" s="38" t="n">
        <v>3420</v>
      </c>
      <c r="F523" s="13" t="n">
        <v>90</v>
      </c>
      <c r="G523" s="13" t="n">
        <v>100</v>
      </c>
      <c r="H523" s="13" t="n">
        <v>38</v>
      </c>
      <c r="I523" s="13" t="n">
        <v>418</v>
      </c>
      <c r="J523" s="13" t="n">
        <v>80</v>
      </c>
      <c r="K523" s="13" t="n">
        <v>249</v>
      </c>
      <c r="L523" s="13" t="n">
        <v>168</v>
      </c>
      <c r="M523" s="13" t="n">
        <v>19</v>
      </c>
      <c r="N523" s="13" t="n">
        <v>172</v>
      </c>
      <c r="O523" s="13" t="n">
        <v>2.53</v>
      </c>
      <c r="P523" s="13" t="n">
        <v>86</v>
      </c>
      <c r="Q523" s="13" t="n">
        <v>26</v>
      </c>
      <c r="R523" s="13" t="n">
        <v>60</v>
      </c>
      <c r="S523" s="13" t="n">
        <v>1.58</v>
      </c>
      <c r="T523" s="13" t="n">
        <v>84.8</v>
      </c>
      <c r="U523" s="13" t="n">
        <v>32.7</v>
      </c>
      <c r="V523" s="13" t="n">
        <v>52.1</v>
      </c>
      <c r="W523" s="13" t="n">
        <v>1.37</v>
      </c>
      <c r="BN523">
        <f>VLOOKUP(A523,Helpers!$B$4:$C$31,2,0)</f>
        <v/>
      </c>
      <c r="BO523" s="2">
        <f>F523/VLOOKUP($A523,$A$131:$E$150,5,0)</f>
        <v/>
      </c>
      <c r="BP523" s="2">
        <f>G523/VLOOKUP($A523,$A$131:$E$150,5,0)</f>
        <v/>
      </c>
      <c r="BQ523" s="2">
        <f>H523/VLOOKUP($A523,$A$131:$E$150,5,0)</f>
        <v/>
      </c>
      <c r="BR523" s="2">
        <f>I523/VLOOKUP($A523,$A$131:$E$150,5,0)</f>
        <v/>
      </c>
      <c r="BS523" s="2">
        <f>J523/VLOOKUP($A523,$A$131:$E$150,5,0)</f>
        <v/>
      </c>
      <c r="BV523">
        <f>BN523</f>
        <v/>
      </c>
      <c r="BW523">
        <f>IF(IF(COUNTIF(CF$515:CF$534,CF523)&gt;1,TRUE,FALSE),"T"&amp;CF523,CF523)</f>
        <v/>
      </c>
      <c r="BX523">
        <f>IF(IF(COUNTIF(CG$515:CG$534,CG523)&gt;1,TRUE,FALSE),"T"&amp;CG523,CG523)</f>
        <v/>
      </c>
      <c r="BY523">
        <f>IF(IF(COUNTIF(CH$515:CH$534,CH523)&gt;1,TRUE,FALSE),"T"&amp;CH523,CH523)</f>
        <v/>
      </c>
      <c r="BZ523">
        <f>IF(IF(COUNTIF(CI$515:CI$534,CI523)&gt;1,TRUE,FALSE),"T"&amp;CI523,CI523)</f>
        <v/>
      </c>
      <c r="CA523">
        <f>IF(IF(COUNTIF(CJ$515:CJ$534,CJ523)&gt;1,TRUE,FALSE),"T"&amp;CJ523,CJ523)</f>
        <v/>
      </c>
      <c r="CB523">
        <f>IF(IF(COUNTIF(CK$515:CK$534,CK523)&gt;1,TRUE,FALSE),"T"&amp;CK523,CK523)</f>
        <v/>
      </c>
      <c r="CF523">
        <f>RANK(C523,C$515:C$534)</f>
        <v/>
      </c>
      <c r="CG523" s="2">
        <f>RANK(BO523,BO$515:BO$534)</f>
        <v/>
      </c>
      <c r="CH523" s="2">
        <f>RANK(BP523,BP$515:BP$534)</f>
        <v/>
      </c>
      <c r="CI523" s="2">
        <f>RANK(BQ523,BQ$515:BQ$534)</f>
        <v/>
      </c>
      <c r="CJ523" s="2">
        <f>RANK(BR523,BR$515:BR$534)</f>
        <v/>
      </c>
      <c r="CK523" s="2">
        <f>RANK(BS523,BS$515:BS$534)</f>
        <v/>
      </c>
    </row>
    <row r="524">
      <c r="A524" s="3" t="inlineStr">
        <is>
          <t>vs Tottenham</t>
        </is>
      </c>
      <c r="B524" s="13" t="n">
        <v>31</v>
      </c>
      <c r="C524" s="13" t="n">
        <v>26.2</v>
      </c>
      <c r="D524" s="13" t="n">
        <v>38</v>
      </c>
      <c r="E524" s="38" t="n">
        <v>3420</v>
      </c>
      <c r="F524" s="13" t="n">
        <v>90</v>
      </c>
      <c r="G524" s="13" t="n">
        <v>100</v>
      </c>
      <c r="H524" s="13" t="n">
        <v>38</v>
      </c>
      <c r="I524" s="13" t="n">
        <v>418</v>
      </c>
      <c r="J524" s="13" t="n">
        <v>82</v>
      </c>
      <c r="K524" s="13" t="n">
        <v>259</v>
      </c>
      <c r="L524" s="13" t="n">
        <v>158</v>
      </c>
      <c r="M524" s="13" t="n">
        <v>18</v>
      </c>
      <c r="N524" s="13" t="n">
        <v>184</v>
      </c>
      <c r="O524" s="13" t="n">
        <v>1.87</v>
      </c>
      <c r="P524" s="13" t="n">
        <v>65</v>
      </c>
      <c r="Q524" s="13" t="n">
        <v>64</v>
      </c>
      <c r="R524" s="13" t="n">
        <v>1</v>
      </c>
      <c r="S524" s="13" t="n">
        <v>0.03</v>
      </c>
      <c r="T524" s="13" t="n">
        <v>63.3</v>
      </c>
      <c r="U524" s="13" t="n">
        <v>58.8</v>
      </c>
      <c r="V524" s="13" t="n">
        <v>4.5</v>
      </c>
      <c r="W524" s="13" t="n">
        <v>0.12</v>
      </c>
      <c r="BN524">
        <f>VLOOKUP(A524,Helpers!$B$4:$C$31,2,0)</f>
        <v/>
      </c>
      <c r="BO524" s="2">
        <f>F524/VLOOKUP($A524,$A$131:$E$150,5,0)</f>
        <v/>
      </c>
      <c r="BP524" s="2">
        <f>G524/VLOOKUP($A524,$A$131:$E$150,5,0)</f>
        <v/>
      </c>
      <c r="BQ524" s="2">
        <f>H524/VLOOKUP($A524,$A$131:$E$150,5,0)</f>
        <v/>
      </c>
      <c r="BR524" s="2">
        <f>I524/VLOOKUP($A524,$A$131:$E$150,5,0)</f>
        <v/>
      </c>
      <c r="BS524" s="2">
        <f>J524/VLOOKUP($A524,$A$131:$E$150,5,0)</f>
        <v/>
      </c>
      <c r="BV524">
        <f>BN524</f>
        <v/>
      </c>
      <c r="BW524">
        <f>IF(IF(COUNTIF(CF$515:CF$534,CF524)&gt;1,TRUE,FALSE),"T"&amp;CF524,CF524)</f>
        <v/>
      </c>
      <c r="BX524">
        <f>IF(IF(COUNTIF(CG$515:CG$534,CG524)&gt;1,TRUE,FALSE),"T"&amp;CG524,CG524)</f>
        <v/>
      </c>
      <c r="BY524">
        <f>IF(IF(COUNTIF(CH$515:CH$534,CH524)&gt;1,TRUE,FALSE),"T"&amp;CH524,CH524)</f>
        <v/>
      </c>
      <c r="BZ524">
        <f>IF(IF(COUNTIF(CI$515:CI$534,CI524)&gt;1,TRUE,FALSE),"T"&amp;CI524,CI524)</f>
        <v/>
      </c>
      <c r="CA524">
        <f>IF(IF(COUNTIF(CJ$515:CJ$534,CJ524)&gt;1,TRUE,FALSE),"T"&amp;CJ524,CJ524)</f>
        <v/>
      </c>
      <c r="CB524">
        <f>IF(IF(COUNTIF(CK$515:CK$534,CK524)&gt;1,TRUE,FALSE),"T"&amp;CK524,CK524)</f>
        <v/>
      </c>
      <c r="CF524">
        <f>RANK(C524,C$515:C$534)</f>
        <v/>
      </c>
      <c r="CG524" s="2">
        <f>RANK(BO524,BO$515:BO$534)</f>
        <v/>
      </c>
      <c r="CH524" s="2">
        <f>RANK(BP524,BP$515:BP$534)</f>
        <v/>
      </c>
      <c r="CI524" s="2">
        <f>RANK(BQ524,BQ$515:BQ$534)</f>
        <v/>
      </c>
      <c r="CJ524" s="2">
        <f>RANK(BR524,BR$515:BR$534)</f>
        <v/>
      </c>
      <c r="CK524" s="2">
        <f>RANK(BS524,BS$515:BS$534)</f>
        <v/>
      </c>
    </row>
    <row r="525">
      <c r="A525" s="3" t="inlineStr">
        <is>
          <t>vs West Ham</t>
        </is>
      </c>
      <c r="B525" s="13" t="n">
        <v>27</v>
      </c>
      <c r="C525" s="13" t="n">
        <v>26.1</v>
      </c>
      <c r="D525" s="13" t="n">
        <v>38</v>
      </c>
      <c r="E525" s="38" t="n">
        <v>3420</v>
      </c>
      <c r="F525" s="13" t="n">
        <v>90</v>
      </c>
      <c r="G525" s="13" t="n">
        <v>100</v>
      </c>
      <c r="H525" s="13" t="n">
        <v>38</v>
      </c>
      <c r="I525" s="13" t="n">
        <v>418</v>
      </c>
      <c r="J525" s="13" t="n">
        <v>81</v>
      </c>
      <c r="K525" s="13" t="n">
        <v>256</v>
      </c>
      <c r="L525" s="13" t="n">
        <v>162</v>
      </c>
      <c r="M525" s="13" t="n">
        <v>18</v>
      </c>
      <c r="N525" s="13" t="n">
        <v>180</v>
      </c>
      <c r="O525" s="13" t="n">
        <v>1.61</v>
      </c>
      <c r="P525" s="13" t="n">
        <v>62</v>
      </c>
      <c r="Q525" s="13" t="n">
        <v>46</v>
      </c>
      <c r="R525" s="13" t="n">
        <v>16</v>
      </c>
      <c r="S525" s="13" t="n">
        <v>0.42</v>
      </c>
      <c r="T525" s="13" t="n">
        <v>59.7</v>
      </c>
      <c r="U525" s="13" t="n">
        <v>47</v>
      </c>
      <c r="V525" s="13" t="n">
        <v>12.7</v>
      </c>
      <c r="W525" s="13" t="n">
        <v>0.33</v>
      </c>
      <c r="BN525">
        <f>VLOOKUP(A525,Helpers!$B$4:$C$31,2,0)</f>
        <v/>
      </c>
      <c r="BO525" s="2">
        <f>F525/VLOOKUP($A525,$A$131:$E$150,5,0)</f>
        <v/>
      </c>
      <c r="BP525" s="2">
        <f>G525/VLOOKUP($A525,$A$131:$E$150,5,0)</f>
        <v/>
      </c>
      <c r="BQ525" s="2">
        <f>H525/VLOOKUP($A525,$A$131:$E$150,5,0)</f>
        <v/>
      </c>
      <c r="BR525" s="2">
        <f>I525/VLOOKUP($A525,$A$131:$E$150,5,0)</f>
        <v/>
      </c>
      <c r="BS525" s="2">
        <f>J525/VLOOKUP($A525,$A$131:$E$150,5,0)</f>
        <v/>
      </c>
      <c r="BV525">
        <f>BN525</f>
        <v/>
      </c>
      <c r="BW525">
        <f>IF(IF(COUNTIF(CF$515:CF$534,CF525)&gt;1,TRUE,FALSE),"T"&amp;CF525,CF525)</f>
        <v/>
      </c>
      <c r="BX525">
        <f>IF(IF(COUNTIF(CG$515:CG$534,CG525)&gt;1,TRUE,FALSE),"T"&amp;CG525,CG525)</f>
        <v/>
      </c>
      <c r="BY525">
        <f>IF(IF(COUNTIF(CH$515:CH$534,CH525)&gt;1,TRUE,FALSE),"T"&amp;CH525,CH525)</f>
        <v/>
      </c>
      <c r="BZ525">
        <f>IF(IF(COUNTIF(CI$515:CI$534,CI525)&gt;1,TRUE,FALSE),"T"&amp;CI525,CI525)</f>
        <v/>
      </c>
      <c r="CA525">
        <f>IF(IF(COUNTIF(CJ$515:CJ$534,CJ525)&gt;1,TRUE,FALSE),"T"&amp;CJ525,CJ525)</f>
        <v/>
      </c>
      <c r="CB525">
        <f>IF(IF(COUNTIF(CK$515:CK$534,CK525)&gt;1,TRUE,FALSE),"T"&amp;CK525,CK525)</f>
        <v/>
      </c>
      <c r="CF525">
        <f>RANK(C525,C$515:C$534)</f>
        <v/>
      </c>
      <c r="CG525" s="2">
        <f>RANK(BO525,BO$515:BO$534)</f>
        <v/>
      </c>
      <c r="CH525" s="2">
        <f>RANK(BP525,BP$515:BP$534)</f>
        <v/>
      </c>
      <c r="CI525" s="2">
        <f>RANK(BQ525,BQ$515:BQ$534)</f>
        <v/>
      </c>
      <c r="CJ525" s="2">
        <f>RANK(BR525,BR$515:BR$534)</f>
        <v/>
      </c>
      <c r="CK525" s="2">
        <f>RANK(BS525,BS$515:BS$534)</f>
        <v/>
      </c>
    </row>
    <row r="526">
      <c r="A526" s="3" t="inlineStr">
        <is>
          <t>vs Wolves</t>
        </is>
      </c>
      <c r="B526" s="13" t="n">
        <v>32</v>
      </c>
      <c r="C526" s="13" t="n">
        <v>26.2</v>
      </c>
      <c r="D526" s="13" t="n">
        <v>38</v>
      </c>
      <c r="E526" s="38" t="n">
        <v>3420</v>
      </c>
      <c r="F526" s="13" t="n">
        <v>90</v>
      </c>
      <c r="G526" s="13" t="n">
        <v>100</v>
      </c>
      <c r="H526" s="13" t="n">
        <v>38</v>
      </c>
      <c r="I526" s="13" t="n">
        <v>418</v>
      </c>
      <c r="J526" s="13" t="n">
        <v>83</v>
      </c>
      <c r="K526" s="13" t="n">
        <v>249</v>
      </c>
      <c r="L526" s="13" t="n">
        <v>166</v>
      </c>
      <c r="M526" s="13" t="n">
        <v>20</v>
      </c>
      <c r="N526" s="13" t="n">
        <v>176</v>
      </c>
      <c r="O526" s="13" t="n">
        <v>1.74</v>
      </c>
      <c r="P526" s="13" t="n">
        <v>69</v>
      </c>
      <c r="Q526" s="13" t="n">
        <v>54</v>
      </c>
      <c r="R526" s="13" t="n">
        <v>15</v>
      </c>
      <c r="S526" s="13" t="n">
        <v>0.39</v>
      </c>
      <c r="T526" s="13" t="n">
        <v>58.1</v>
      </c>
      <c r="U526" s="13" t="n">
        <v>43.7</v>
      </c>
      <c r="V526" s="13" t="n">
        <v>14.5</v>
      </c>
      <c r="W526" s="13" t="n">
        <v>0.38</v>
      </c>
      <c r="BN526">
        <f>VLOOKUP(A526,Helpers!$B$4:$C$31,2,0)</f>
        <v/>
      </c>
      <c r="BO526" s="2">
        <f>F526/VLOOKUP($A526,$A$131:$E$150,5,0)</f>
        <v/>
      </c>
      <c r="BP526" s="2">
        <f>G526/VLOOKUP($A526,$A$131:$E$150,5,0)</f>
        <v/>
      </c>
      <c r="BQ526" s="2">
        <f>H526/VLOOKUP($A526,$A$131:$E$150,5,0)</f>
        <v/>
      </c>
      <c r="BR526" s="2">
        <f>I526/VLOOKUP($A526,$A$131:$E$150,5,0)</f>
        <v/>
      </c>
      <c r="BS526" s="2">
        <f>J526/VLOOKUP($A526,$A$131:$E$150,5,0)</f>
        <v/>
      </c>
      <c r="BV526">
        <f>BN526</f>
        <v/>
      </c>
      <c r="BW526">
        <f>IF(IF(COUNTIF(CF$515:CF$534,CF526)&gt;1,TRUE,FALSE),"T"&amp;CF526,CF526)</f>
        <v/>
      </c>
      <c r="BX526">
        <f>IF(IF(COUNTIF(CG$515:CG$534,CG526)&gt;1,TRUE,FALSE),"T"&amp;CG526,CG526)</f>
        <v/>
      </c>
      <c r="BY526">
        <f>IF(IF(COUNTIF(CH$515:CH$534,CH526)&gt;1,TRUE,FALSE),"T"&amp;CH526,CH526)</f>
        <v/>
      </c>
      <c r="BZ526">
        <f>IF(IF(COUNTIF(CI$515:CI$534,CI526)&gt;1,TRUE,FALSE),"T"&amp;CI526,CI526)</f>
        <v/>
      </c>
      <c r="CA526">
        <f>IF(IF(COUNTIF(CJ$515:CJ$534,CJ526)&gt;1,TRUE,FALSE),"T"&amp;CJ526,CJ526)</f>
        <v/>
      </c>
      <c r="CB526">
        <f>IF(IF(COUNTIF(CK$515:CK$534,CK526)&gt;1,TRUE,FALSE),"T"&amp;CK526,CK526)</f>
        <v/>
      </c>
      <c r="CF526">
        <f>RANK(C526,C$515:C$534)</f>
        <v/>
      </c>
      <c r="CG526" s="2">
        <f>RANK(BO526,BO$515:BO$534)</f>
        <v/>
      </c>
      <c r="CH526" s="2">
        <f>RANK(BP526,BP$515:BP$534)</f>
        <v/>
      </c>
      <c r="CI526" s="2">
        <f>RANK(BQ526,BQ$515:BQ$534)</f>
        <v/>
      </c>
      <c r="CJ526" s="2">
        <f>RANK(BR526,BR$515:BR$534)</f>
        <v/>
      </c>
      <c r="CK526" s="2">
        <f>RANK(BS526,BS$515:BS$534)</f>
        <v/>
      </c>
    </row>
    <row r="527">
      <c r="BN527">
        <f>VLOOKUP(A527,Helpers!$B$4:$C$31,2,0)</f>
        <v/>
      </c>
      <c r="BO527" s="2">
        <f>F527/VLOOKUP($A527,$A$131:$E$150,5,0)</f>
        <v/>
      </c>
      <c r="BP527" s="2">
        <f>G527/VLOOKUP($A527,$A$131:$E$150,5,0)</f>
        <v/>
      </c>
      <c r="BQ527" s="2">
        <f>H527/VLOOKUP($A527,$A$131:$E$150,5,0)</f>
        <v/>
      </c>
      <c r="BR527" s="2">
        <f>I527/VLOOKUP($A527,$A$131:$E$150,5,0)</f>
        <v/>
      </c>
      <c r="BS527" s="2">
        <f>J527/VLOOKUP($A527,$A$131:$E$150,5,0)</f>
        <v/>
      </c>
      <c r="BV527">
        <f>BN527</f>
        <v/>
      </c>
      <c r="BW527">
        <f>IF(IF(COUNTIF(CF$515:CF$534,CF527)&gt;1,TRUE,FALSE),"T"&amp;CF527,CF527)</f>
        <v/>
      </c>
      <c r="BX527">
        <f>IF(IF(COUNTIF(CG$515:CG$534,CG527)&gt;1,TRUE,FALSE),"T"&amp;CG527,CG527)</f>
        <v/>
      </c>
      <c r="BY527">
        <f>IF(IF(COUNTIF(CH$515:CH$534,CH527)&gt;1,TRUE,FALSE),"T"&amp;CH527,CH527)</f>
        <v/>
      </c>
      <c r="BZ527">
        <f>IF(IF(COUNTIF(CI$515:CI$534,CI527)&gt;1,TRUE,FALSE),"T"&amp;CI527,CI527)</f>
        <v/>
      </c>
      <c r="CA527">
        <f>IF(IF(COUNTIF(CJ$515:CJ$534,CJ527)&gt;1,TRUE,FALSE),"T"&amp;CJ527,CJ527)</f>
        <v/>
      </c>
      <c r="CB527">
        <f>IF(IF(COUNTIF(CK$515:CK$534,CK527)&gt;1,TRUE,FALSE),"T"&amp;CK527,CK527)</f>
        <v/>
      </c>
      <c r="CF527">
        <f>RANK(C527,C$515:C$534)</f>
        <v/>
      </c>
      <c r="CG527" s="2">
        <f>RANK(BO527,BO$515:BO$534)</f>
        <v/>
      </c>
      <c r="CH527" s="2">
        <f>RANK(BP527,BP$515:BP$534)</f>
        <v/>
      </c>
      <c r="CI527" s="2">
        <f>RANK(BQ527,BQ$515:BQ$534)</f>
        <v/>
      </c>
      <c r="CJ527" s="2">
        <f>RANK(BR527,BR$515:BR$534)</f>
        <v/>
      </c>
      <c r="CK527" s="2">
        <f>RANK(BS527,BS$515:BS$534)</f>
        <v/>
      </c>
    </row>
    <row r="528">
      <c r="A528" s="45" t="inlineStr">
        <is>
          <t>Squad Miscellaneous Stats 2024-2025 Premier League Table</t>
        </is>
      </c>
      <c r="BN528">
        <f>VLOOKUP(A528,Helpers!$B$4:$C$31,2,0)</f>
        <v/>
      </c>
      <c r="BO528" s="2">
        <f>F528/VLOOKUP($A528,$A$131:$E$150,5,0)</f>
        <v/>
      </c>
      <c r="BP528" s="2">
        <f>G528/VLOOKUP($A528,$A$131:$E$150,5,0)</f>
        <v/>
      </c>
      <c r="BQ528" s="2">
        <f>H528/VLOOKUP($A528,$A$131:$E$150,5,0)</f>
        <v/>
      </c>
      <c r="BR528" s="2">
        <f>I528/VLOOKUP($A528,$A$131:$E$150,5,0)</f>
        <v/>
      </c>
      <c r="BS528" s="2">
        <f>J528/VLOOKUP($A528,$A$131:$E$150,5,0)</f>
        <v/>
      </c>
      <c r="BV528">
        <f>BN528</f>
        <v/>
      </c>
      <c r="BW528">
        <f>IF(IF(COUNTIF(CF$515:CF$534,CF528)&gt;1,TRUE,FALSE),"T"&amp;CF528,CF528)</f>
        <v/>
      </c>
      <c r="BX528">
        <f>IF(IF(COUNTIF(CG$515:CG$534,CG528)&gt;1,TRUE,FALSE),"T"&amp;CG528,CG528)</f>
        <v/>
      </c>
      <c r="BY528">
        <f>IF(IF(COUNTIF(CH$515:CH$534,CH528)&gt;1,TRUE,FALSE),"T"&amp;CH528,CH528)</f>
        <v/>
      </c>
      <c r="BZ528">
        <f>IF(IF(COUNTIF(CI$515:CI$534,CI528)&gt;1,TRUE,FALSE),"T"&amp;CI528,CI528)</f>
        <v/>
      </c>
      <c r="CA528">
        <f>IF(IF(COUNTIF(CJ$515:CJ$534,CJ528)&gt;1,TRUE,FALSE),"T"&amp;CJ528,CJ528)</f>
        <v/>
      </c>
      <c r="CB528">
        <f>IF(IF(COUNTIF(CK$515:CK$534,CK528)&gt;1,TRUE,FALSE),"T"&amp;CK528,CK528)</f>
        <v/>
      </c>
      <c r="CF528">
        <f>RANK(C528,C$515:C$534)</f>
        <v/>
      </c>
      <c r="CG528" s="2">
        <f>RANK(BO528,BO$515:BO$534)</f>
        <v/>
      </c>
      <c r="CH528" s="2">
        <f>RANK(BP528,BP$515:BP$534)</f>
        <v/>
      </c>
      <c r="CI528" s="2">
        <f>RANK(BQ528,BQ$515:BQ$534)</f>
        <v/>
      </c>
      <c r="CJ528" s="2">
        <f>RANK(BR528,BR$515:BR$534)</f>
        <v/>
      </c>
      <c r="CK528" s="2">
        <f>RANK(BS528,BS$515:BS$534)</f>
        <v/>
      </c>
    </row>
    <row r="529" ht="17.1" customHeight="1" s="43">
      <c r="A529" s="44" t="n"/>
      <c r="D529" s="44" t="inlineStr">
        <is>
          <t>Performance</t>
        </is>
      </c>
      <c r="Q529" s="44" t="inlineStr">
        <is>
          <t>Aerial Duels</t>
        </is>
      </c>
      <c r="BN529">
        <f>VLOOKUP(A529,Helpers!$B$4:$C$31,2,0)</f>
        <v/>
      </c>
      <c r="BO529" s="2">
        <f>F529/VLOOKUP($A529,$A$131:$E$150,5,0)</f>
        <v/>
      </c>
      <c r="BP529" s="2">
        <f>G529/VLOOKUP($A529,$A$131:$E$150,5,0)</f>
        <v/>
      </c>
      <c r="BQ529" s="2">
        <f>H529/VLOOKUP($A529,$A$131:$E$150,5,0)</f>
        <v/>
      </c>
      <c r="BR529" s="2">
        <f>I529/VLOOKUP($A529,$A$131:$E$150,5,0)</f>
        <v/>
      </c>
      <c r="BS529" s="2">
        <f>J529/VLOOKUP($A529,$A$131:$E$150,5,0)</f>
        <v/>
      </c>
      <c r="BV529">
        <f>BN529</f>
        <v/>
      </c>
      <c r="BW529">
        <f>IF(IF(COUNTIF(CF$515:CF$534,CF529)&gt;1,TRUE,FALSE),"T"&amp;CF529,CF529)</f>
        <v/>
      </c>
      <c r="BX529">
        <f>IF(IF(COUNTIF(CG$515:CG$534,CG529)&gt;1,TRUE,FALSE),"T"&amp;CG529,CG529)</f>
        <v/>
      </c>
      <c r="BY529">
        <f>IF(IF(COUNTIF(CH$515:CH$534,CH529)&gt;1,TRUE,FALSE),"T"&amp;CH529,CH529)</f>
        <v/>
      </c>
      <c r="BZ529">
        <f>IF(IF(COUNTIF(CI$515:CI$534,CI529)&gt;1,TRUE,FALSE),"T"&amp;CI529,CI529)</f>
        <v/>
      </c>
      <c r="CA529">
        <f>IF(IF(COUNTIF(CJ$515:CJ$534,CJ529)&gt;1,TRUE,FALSE),"T"&amp;CJ529,CJ529)</f>
        <v/>
      </c>
      <c r="CB529">
        <f>IF(IF(COUNTIF(CK$515:CK$534,CK529)&gt;1,TRUE,FALSE),"T"&amp;CK529,CK529)</f>
        <v/>
      </c>
      <c r="CF529">
        <f>RANK(C529,C$515:C$534)</f>
        <v/>
      </c>
      <c r="CG529" s="2">
        <f>RANK(BO529,BO$515:BO$534)</f>
        <v/>
      </c>
      <c r="CH529" s="2">
        <f>RANK(BP529,BP$515:BP$534)</f>
        <v/>
      </c>
      <c r="CI529" s="2">
        <f>RANK(BQ529,BQ$515:BQ$534)</f>
        <v/>
      </c>
      <c r="CJ529" s="2">
        <f>RANK(BR529,BR$515:BR$534)</f>
        <v/>
      </c>
      <c r="CK529" s="2">
        <f>RANK(BS529,BS$515:BS$534)</f>
        <v/>
      </c>
    </row>
    <row r="530">
      <c r="A530" s="44" t="inlineStr">
        <is>
          <t>Squad</t>
        </is>
      </c>
      <c r="B530" s="44" t="inlineStr">
        <is>
          <t># Pl</t>
        </is>
      </c>
      <c r="C530" s="44" t="inlineStr">
        <is>
          <t>90s</t>
        </is>
      </c>
      <c r="D530" s="44" t="inlineStr">
        <is>
          <t>CrdY</t>
        </is>
      </c>
      <c r="E530" s="44" t="inlineStr">
        <is>
          <t>CrdR</t>
        </is>
      </c>
      <c r="F530" s="44" t="inlineStr">
        <is>
          <t>2CrdY</t>
        </is>
      </c>
      <c r="G530" s="44" t="inlineStr">
        <is>
          <t>Fls</t>
        </is>
      </c>
      <c r="H530" s="44" t="inlineStr">
        <is>
          <t>Fld</t>
        </is>
      </c>
      <c r="I530" s="44" t="inlineStr">
        <is>
          <t>Off</t>
        </is>
      </c>
      <c r="J530" s="44" t="inlineStr">
        <is>
          <t>Crs</t>
        </is>
      </c>
      <c r="K530" s="44" t="inlineStr">
        <is>
          <t>Int</t>
        </is>
      </c>
      <c r="L530" s="44" t="inlineStr">
        <is>
          <t>TklW</t>
        </is>
      </c>
      <c r="M530" s="44" t="inlineStr">
        <is>
          <t>PKwon</t>
        </is>
      </c>
      <c r="N530" s="44" t="inlineStr">
        <is>
          <t>PKcon</t>
        </is>
      </c>
      <c r="O530" s="44" t="inlineStr">
        <is>
          <t>OG</t>
        </is>
      </c>
      <c r="P530" s="44" t="inlineStr">
        <is>
          <t>Recov</t>
        </is>
      </c>
      <c r="Q530" s="44" t="inlineStr">
        <is>
          <t>Won</t>
        </is>
      </c>
      <c r="R530" s="44" t="inlineStr">
        <is>
          <t>Lost</t>
        </is>
      </c>
      <c r="S530" s="44" t="inlineStr">
        <is>
          <t>Won%</t>
        </is>
      </c>
      <c r="BN530">
        <f>VLOOKUP(A530,Helpers!$B$4:$C$31,2,0)</f>
        <v/>
      </c>
      <c r="BO530" s="2">
        <f>F530/VLOOKUP($A530,$A$131:$E$150,5,0)</f>
        <v/>
      </c>
      <c r="BP530" s="2">
        <f>G530/VLOOKUP($A530,$A$131:$E$150,5,0)</f>
        <v/>
      </c>
      <c r="BQ530" s="2">
        <f>H530/VLOOKUP($A530,$A$131:$E$150,5,0)</f>
        <v/>
      </c>
      <c r="BR530" s="2">
        <f>I530/VLOOKUP($A530,$A$131:$E$150,5,0)</f>
        <v/>
      </c>
      <c r="BS530" s="2">
        <f>J530/VLOOKUP($A530,$A$131:$E$150,5,0)</f>
        <v/>
      </c>
      <c r="BV530">
        <f>BN530</f>
        <v/>
      </c>
      <c r="BW530">
        <f>IF(IF(COUNTIF(CF$515:CF$534,CF530)&gt;1,TRUE,FALSE),"T"&amp;CF530,CF530)</f>
        <v/>
      </c>
      <c r="BX530">
        <f>IF(IF(COUNTIF(CG$515:CG$534,CG530)&gt;1,TRUE,FALSE),"T"&amp;CG530,CG530)</f>
        <v/>
      </c>
      <c r="BY530">
        <f>IF(IF(COUNTIF(CH$515:CH$534,CH530)&gt;1,TRUE,FALSE),"T"&amp;CH530,CH530)</f>
        <v/>
      </c>
      <c r="BZ530">
        <f>IF(IF(COUNTIF(CI$515:CI$534,CI530)&gt;1,TRUE,FALSE),"T"&amp;CI530,CI530)</f>
        <v/>
      </c>
      <c r="CA530">
        <f>IF(IF(COUNTIF(CJ$515:CJ$534,CJ530)&gt;1,TRUE,FALSE),"T"&amp;CJ530,CJ530)</f>
        <v/>
      </c>
      <c r="CB530">
        <f>IF(IF(COUNTIF(CK$515:CK$534,CK530)&gt;1,TRUE,FALSE),"T"&amp;CK530,CK530)</f>
        <v/>
      </c>
      <c r="CF530">
        <f>RANK(C530,C$515:C$534)</f>
        <v/>
      </c>
      <c r="CG530" s="2">
        <f>RANK(BO530,BO$515:BO$534)</f>
        <v/>
      </c>
      <c r="CH530" s="2">
        <f>RANK(BP530,BP$515:BP$534)</f>
        <v/>
      </c>
      <c r="CI530" s="2">
        <f>RANK(BQ530,BQ$515:BQ$534)</f>
        <v/>
      </c>
      <c r="CJ530" s="2">
        <f>RANK(BR530,BR$515:BR$534)</f>
        <v/>
      </c>
      <c r="CK530" s="2">
        <f>RANK(BS530,BS$515:BS$534)</f>
        <v/>
      </c>
    </row>
    <row r="531">
      <c r="A531" s="3" t="inlineStr">
        <is>
          <t>Arsenal</t>
        </is>
      </c>
      <c r="B531" s="13" t="n">
        <v>25</v>
      </c>
      <c r="C531" s="13" t="n">
        <v>38</v>
      </c>
      <c r="D531" s="13" t="n">
        <v>70</v>
      </c>
      <c r="E531" s="13" t="n">
        <v>6</v>
      </c>
      <c r="F531" s="13" t="n">
        <v>3</v>
      </c>
      <c r="G531" s="13" t="n">
        <v>401</v>
      </c>
      <c r="H531" s="13" t="n">
        <v>405</v>
      </c>
      <c r="I531" s="13" t="n">
        <v>80</v>
      </c>
      <c r="J531" s="13" t="n">
        <v>766</v>
      </c>
      <c r="K531" s="13" t="n">
        <v>225</v>
      </c>
      <c r="L531" s="13" t="n">
        <v>348</v>
      </c>
      <c r="M531" s="13" t="n">
        <v>2</v>
      </c>
      <c r="N531" s="13" t="n">
        <v>3</v>
      </c>
      <c r="O531" s="13" t="n">
        <v>0</v>
      </c>
      <c r="P531" s="13" t="n">
        <v>1436</v>
      </c>
      <c r="Q531" s="13" t="n">
        <v>471</v>
      </c>
      <c r="R531" s="13" t="n">
        <v>465</v>
      </c>
      <c r="S531" s="13" t="n">
        <v>50.3</v>
      </c>
      <c r="BN531">
        <f>VLOOKUP(A531,Helpers!$B$4:$C$31,2,0)</f>
        <v/>
      </c>
      <c r="BO531" s="2">
        <f>F531/VLOOKUP($A531,$A$131:$E$150,5,0)</f>
        <v/>
      </c>
      <c r="BP531" s="2">
        <f>G531/VLOOKUP($A531,$A$131:$E$150,5,0)</f>
        <v/>
      </c>
      <c r="BQ531" s="2">
        <f>H531/VLOOKUP($A531,$A$131:$E$150,5,0)</f>
        <v/>
      </c>
      <c r="BR531" s="2">
        <f>I531/VLOOKUP($A531,$A$131:$E$150,5,0)</f>
        <v/>
      </c>
      <c r="BS531" s="2">
        <f>J531/VLOOKUP($A531,$A$131:$E$150,5,0)</f>
        <v/>
      </c>
      <c r="BV531">
        <f>BN531</f>
        <v/>
      </c>
      <c r="BW531">
        <f>IF(IF(COUNTIF(CF$515:CF$534,CF531)&gt;1,TRUE,FALSE),"T"&amp;CF531,CF531)</f>
        <v/>
      </c>
      <c r="BX531">
        <f>IF(IF(COUNTIF(CG$515:CG$534,CG531)&gt;1,TRUE,FALSE),"T"&amp;CG531,CG531)</f>
        <v/>
      </c>
      <c r="BY531">
        <f>IF(IF(COUNTIF(CH$515:CH$534,CH531)&gt;1,TRUE,FALSE),"T"&amp;CH531,CH531)</f>
        <v/>
      </c>
      <c r="BZ531">
        <f>IF(IF(COUNTIF(CI$515:CI$534,CI531)&gt;1,TRUE,FALSE),"T"&amp;CI531,CI531)</f>
        <v/>
      </c>
      <c r="CA531">
        <f>IF(IF(COUNTIF(CJ$515:CJ$534,CJ531)&gt;1,TRUE,FALSE),"T"&amp;CJ531,CJ531)</f>
        <v/>
      </c>
      <c r="CB531">
        <f>IF(IF(COUNTIF(CK$515:CK$534,CK531)&gt;1,TRUE,FALSE),"T"&amp;CK531,CK531)</f>
        <v/>
      </c>
      <c r="CF531">
        <f>RANK(C531,C$515:C$534)</f>
        <v/>
      </c>
      <c r="CG531" s="2">
        <f>RANK(BO531,BO$515:BO$534)</f>
        <v/>
      </c>
      <c r="CH531" s="2">
        <f>RANK(BP531,BP$515:BP$534)</f>
        <v/>
      </c>
      <c r="CI531" s="2">
        <f>RANK(BQ531,BQ$515:BQ$534)</f>
        <v/>
      </c>
      <c r="CJ531" s="2">
        <f>RANK(BR531,BR$515:BR$534)</f>
        <v/>
      </c>
      <c r="CK531" s="2">
        <f>RANK(BS531,BS$515:BS$534)</f>
        <v/>
      </c>
    </row>
    <row r="532">
      <c r="A532" s="3" t="inlineStr">
        <is>
          <t>Aston Villa</t>
        </is>
      </c>
      <c r="B532" s="13" t="n">
        <v>28</v>
      </c>
      <c r="C532" s="13" t="n">
        <v>38</v>
      </c>
      <c r="D532" s="13" t="n">
        <v>76</v>
      </c>
      <c r="E532" s="13" t="n">
        <v>4</v>
      </c>
      <c r="F532" s="13" t="n">
        <v>2</v>
      </c>
      <c r="G532" s="13" t="n">
        <v>406</v>
      </c>
      <c r="H532" s="13" t="n">
        <v>499</v>
      </c>
      <c r="I532" s="13" t="n">
        <v>55</v>
      </c>
      <c r="J532" s="13" t="n">
        <v>604</v>
      </c>
      <c r="K532" s="13" t="n">
        <v>240</v>
      </c>
      <c r="L532" s="13" t="n">
        <v>372</v>
      </c>
      <c r="M532" s="13" t="n">
        <v>6</v>
      </c>
      <c r="N532" s="13" t="n">
        <v>3</v>
      </c>
      <c r="O532" s="13" t="n">
        <v>0</v>
      </c>
      <c r="P532" s="13" t="n">
        <v>1418</v>
      </c>
      <c r="Q532" s="13" t="n">
        <v>378</v>
      </c>
      <c r="R532" s="13" t="n">
        <v>423</v>
      </c>
      <c r="S532" s="13" t="n">
        <v>47.2</v>
      </c>
      <c r="BN532">
        <f>VLOOKUP(A532,Helpers!$B$4:$C$31,2,0)</f>
        <v/>
      </c>
      <c r="BO532" s="2">
        <f>F532/VLOOKUP($A532,$A$131:$E$150,5,0)</f>
        <v/>
      </c>
      <c r="BP532" s="2">
        <f>G532/VLOOKUP($A532,$A$131:$E$150,5,0)</f>
        <v/>
      </c>
      <c r="BQ532" s="2">
        <f>H532/VLOOKUP($A532,$A$131:$E$150,5,0)</f>
        <v/>
      </c>
      <c r="BR532" s="2">
        <f>I532/VLOOKUP($A532,$A$131:$E$150,5,0)</f>
        <v/>
      </c>
      <c r="BS532" s="2">
        <f>J532/VLOOKUP($A532,$A$131:$E$150,5,0)</f>
        <v/>
      </c>
      <c r="BV532">
        <f>BN532</f>
        <v/>
      </c>
      <c r="BW532">
        <f>IF(IF(COUNTIF(CF$515:CF$534,CF532)&gt;1,TRUE,FALSE),"T"&amp;CF532,CF532)</f>
        <v/>
      </c>
      <c r="BX532">
        <f>IF(IF(COUNTIF(CG$515:CG$534,CG532)&gt;1,TRUE,FALSE),"T"&amp;CG532,CG532)</f>
        <v/>
      </c>
      <c r="BY532">
        <f>IF(IF(COUNTIF(CH$515:CH$534,CH532)&gt;1,TRUE,FALSE),"T"&amp;CH532,CH532)</f>
        <v/>
      </c>
      <c r="BZ532">
        <f>IF(IF(COUNTIF(CI$515:CI$534,CI532)&gt;1,TRUE,FALSE),"T"&amp;CI532,CI532)</f>
        <v/>
      </c>
      <c r="CA532">
        <f>IF(IF(COUNTIF(CJ$515:CJ$534,CJ532)&gt;1,TRUE,FALSE),"T"&amp;CJ532,CJ532)</f>
        <v/>
      </c>
      <c r="CB532">
        <f>IF(IF(COUNTIF(CK$515:CK$534,CK532)&gt;1,TRUE,FALSE),"T"&amp;CK532,CK532)</f>
        <v/>
      </c>
      <c r="CF532">
        <f>RANK(C532,C$515:C$534)</f>
        <v/>
      </c>
      <c r="CG532" s="2">
        <f>RANK(BO532,BO$515:BO$534)</f>
        <v/>
      </c>
      <c r="CH532" s="2">
        <f>RANK(BP532,BP$515:BP$534)</f>
        <v/>
      </c>
      <c r="CI532" s="2">
        <f>RANK(BQ532,BQ$515:BQ$534)</f>
        <v/>
      </c>
      <c r="CJ532" s="2">
        <f>RANK(BR532,BR$515:BR$534)</f>
        <v/>
      </c>
      <c r="CK532" s="2">
        <f>RANK(BS532,BS$515:BS$534)</f>
        <v/>
      </c>
    </row>
    <row r="533">
      <c r="A533" s="3" t="inlineStr">
        <is>
          <t>Bournemouth</t>
        </is>
      </c>
      <c r="B533" s="13" t="n">
        <v>29</v>
      </c>
      <c r="C533" s="13" t="n">
        <v>38</v>
      </c>
      <c r="D533" s="13" t="n">
        <v>97</v>
      </c>
      <c r="E533" s="13" t="n">
        <v>3</v>
      </c>
      <c r="F533" s="13" t="n">
        <v>0</v>
      </c>
      <c r="G533" s="13" t="n">
        <v>525</v>
      </c>
      <c r="H533" s="13" t="n">
        <v>400</v>
      </c>
      <c r="I533" s="13" t="n">
        <v>70</v>
      </c>
      <c r="J533" s="13" t="n">
        <v>832</v>
      </c>
      <c r="K533" s="13" t="n">
        <v>351</v>
      </c>
      <c r="L533" s="13" t="n">
        <v>399</v>
      </c>
      <c r="M533" s="13" t="n">
        <v>7</v>
      </c>
      <c r="N533" s="13" t="n">
        <v>4</v>
      </c>
      <c r="O533" s="13" t="n">
        <v>0</v>
      </c>
      <c r="P533" s="13" t="n">
        <v>1821</v>
      </c>
      <c r="Q533" s="13" t="n">
        <v>573</v>
      </c>
      <c r="R533" s="13" t="n">
        <v>606</v>
      </c>
      <c r="S533" s="13" t="n">
        <v>48.6</v>
      </c>
      <c r="BN533">
        <f>VLOOKUP(A533,Helpers!$B$4:$C$31,2,0)</f>
        <v/>
      </c>
      <c r="BO533" s="2">
        <f>F533/VLOOKUP($A533,$A$131:$E$150,5,0)</f>
        <v/>
      </c>
      <c r="BP533" s="2">
        <f>G533/VLOOKUP($A533,$A$131:$E$150,5,0)</f>
        <v/>
      </c>
      <c r="BQ533" s="2">
        <f>H533/VLOOKUP($A533,$A$131:$E$150,5,0)</f>
        <v/>
      </c>
      <c r="BR533" s="2">
        <f>I533/VLOOKUP($A533,$A$131:$E$150,5,0)</f>
        <v/>
      </c>
      <c r="BS533" s="2">
        <f>J533/VLOOKUP($A533,$A$131:$E$150,5,0)</f>
        <v/>
      </c>
      <c r="BV533">
        <f>BN533</f>
        <v/>
      </c>
      <c r="BW533">
        <f>IF(IF(COUNTIF(CF$515:CF$534,CF533)&gt;1,TRUE,FALSE),"T"&amp;CF533,CF533)</f>
        <v/>
      </c>
      <c r="BX533">
        <f>IF(IF(COUNTIF(CG$515:CG$534,CG533)&gt;1,TRUE,FALSE),"T"&amp;CG533,CG533)</f>
        <v/>
      </c>
      <c r="BY533">
        <f>IF(IF(COUNTIF(CH$515:CH$534,CH533)&gt;1,TRUE,FALSE),"T"&amp;CH533,CH533)</f>
        <v/>
      </c>
      <c r="BZ533">
        <f>IF(IF(COUNTIF(CI$515:CI$534,CI533)&gt;1,TRUE,FALSE),"T"&amp;CI533,CI533)</f>
        <v/>
      </c>
      <c r="CA533">
        <f>IF(IF(COUNTIF(CJ$515:CJ$534,CJ533)&gt;1,TRUE,FALSE),"T"&amp;CJ533,CJ533)</f>
        <v/>
      </c>
      <c r="CB533">
        <f>IF(IF(COUNTIF(CK$515:CK$534,CK533)&gt;1,TRUE,FALSE),"T"&amp;CK533,CK533)</f>
        <v/>
      </c>
      <c r="CF533">
        <f>RANK(C533,C$515:C$534)</f>
        <v/>
      </c>
      <c r="CG533" s="2">
        <f>RANK(BO533,BO$515:BO$534)</f>
        <v/>
      </c>
      <c r="CH533" s="2">
        <f>RANK(BP533,BP$515:BP$534)</f>
        <v/>
      </c>
      <c r="CI533" s="2">
        <f>RANK(BQ533,BQ$515:BQ$534)</f>
        <v/>
      </c>
      <c r="CJ533" s="2">
        <f>RANK(BR533,BR$515:BR$534)</f>
        <v/>
      </c>
      <c r="CK533" s="2">
        <f>RANK(BS533,BS$515:BS$534)</f>
        <v/>
      </c>
    </row>
    <row r="534">
      <c r="A534" s="3" t="inlineStr">
        <is>
          <t>Brentford</t>
        </is>
      </c>
      <c r="B534" s="13" t="n">
        <v>28</v>
      </c>
      <c r="C534" s="13" t="n">
        <v>38</v>
      </c>
      <c r="D534" s="13" t="n">
        <v>62</v>
      </c>
      <c r="E534" s="13" t="n">
        <v>1</v>
      </c>
      <c r="F534" s="13" t="n">
        <v>0</v>
      </c>
      <c r="G534" s="13" t="n">
        <v>320</v>
      </c>
      <c r="H534" s="13" t="n">
        <v>339</v>
      </c>
      <c r="I534" s="13" t="n">
        <v>63</v>
      </c>
      <c r="J534" s="13" t="n">
        <v>674</v>
      </c>
      <c r="K534" s="13" t="n">
        <v>285</v>
      </c>
      <c r="L534" s="13" t="n">
        <v>380</v>
      </c>
      <c r="M534" s="13" t="n">
        <v>6</v>
      </c>
      <c r="N534" s="13" t="n">
        <v>1</v>
      </c>
      <c r="O534" s="13" t="n">
        <v>3</v>
      </c>
      <c r="P534" s="13" t="n">
        <v>1644</v>
      </c>
      <c r="Q534" s="13" t="n">
        <v>624</v>
      </c>
      <c r="R534" s="13" t="n">
        <v>567</v>
      </c>
      <c r="S534" s="13" t="n">
        <v>52.4</v>
      </c>
      <c r="BN534">
        <f>VLOOKUP(A534,Helpers!$B$4:$C$31,2,0)</f>
        <v/>
      </c>
      <c r="BO534" s="2">
        <f>F534/VLOOKUP($A534,$A$131:$E$150,5,0)</f>
        <v/>
      </c>
      <c r="BP534" s="2">
        <f>G534/VLOOKUP($A534,$A$131:$E$150,5,0)</f>
        <v/>
      </c>
      <c r="BQ534" s="2">
        <f>H534/VLOOKUP($A534,$A$131:$E$150,5,0)</f>
        <v/>
      </c>
      <c r="BR534" s="2">
        <f>I534/VLOOKUP($A534,$A$131:$E$150,5,0)</f>
        <v/>
      </c>
      <c r="BS534" s="2">
        <f>J534/VLOOKUP($A534,$A$131:$E$150,5,0)</f>
        <v/>
      </c>
      <c r="BV534">
        <f>BN534</f>
        <v/>
      </c>
      <c r="BW534">
        <f>IF(IF(COUNTIF(CF$515:CF$534,CF534)&gt;1,TRUE,FALSE),"T"&amp;CF534,CF534)</f>
        <v/>
      </c>
      <c r="BX534">
        <f>IF(IF(COUNTIF(CG$515:CG$534,CG534)&gt;1,TRUE,FALSE),"T"&amp;CG534,CG534)</f>
        <v/>
      </c>
      <c r="BY534">
        <f>IF(IF(COUNTIF(CH$515:CH$534,CH534)&gt;1,TRUE,FALSE),"T"&amp;CH534,CH534)</f>
        <v/>
      </c>
      <c r="BZ534">
        <f>IF(IF(COUNTIF(CI$515:CI$534,CI534)&gt;1,TRUE,FALSE),"T"&amp;CI534,CI534)</f>
        <v/>
      </c>
      <c r="CA534">
        <f>IF(IF(COUNTIF(CJ$515:CJ$534,CJ534)&gt;1,TRUE,FALSE),"T"&amp;CJ534,CJ534)</f>
        <v/>
      </c>
      <c r="CB534">
        <f>IF(IF(COUNTIF(CK$515:CK$534,CK534)&gt;1,TRUE,FALSE),"T"&amp;CK534,CK534)</f>
        <v/>
      </c>
      <c r="CF534">
        <f>RANK(C534,C$515:C$534)</f>
        <v/>
      </c>
      <c r="CG534" s="2">
        <f>RANK(BO534,BO$515:BO$534)</f>
        <v/>
      </c>
      <c r="CH534" s="2">
        <f>RANK(BP534,BP$515:BP$534)</f>
        <v/>
      </c>
      <c r="CI534" s="2">
        <f>RANK(BQ534,BQ$515:BQ$534)</f>
        <v/>
      </c>
      <c r="CJ534" s="2">
        <f>RANK(BR534,BR$515:BR$534)</f>
        <v/>
      </c>
      <c r="CK534" s="2">
        <f>RANK(BS534,BS$515:BS$534)</f>
        <v/>
      </c>
    </row>
    <row r="535" ht="18" customHeight="1" s="43">
      <c r="A535" s="3" t="inlineStr">
        <is>
          <t>Brighton</t>
        </is>
      </c>
      <c r="B535" s="13" t="n">
        <v>32</v>
      </c>
      <c r="C535" s="13" t="n">
        <v>38</v>
      </c>
      <c r="D535" s="13" t="n">
        <v>78</v>
      </c>
      <c r="E535" s="13" t="n">
        <v>3</v>
      </c>
      <c r="F535" s="13" t="n">
        <v>2</v>
      </c>
      <c r="G535" s="13" t="n">
        <v>438</v>
      </c>
      <c r="H535" s="13" t="n">
        <v>411</v>
      </c>
      <c r="I535" s="13" t="n">
        <v>46</v>
      </c>
      <c r="J535" s="13" t="n">
        <v>704</v>
      </c>
      <c r="K535" s="13" t="n">
        <v>315</v>
      </c>
      <c r="L535" s="13" t="n">
        <v>431</v>
      </c>
      <c r="M535" s="13" t="n">
        <v>6</v>
      </c>
      <c r="N535" s="13" t="n">
        <v>9</v>
      </c>
      <c r="O535" s="13" t="n">
        <v>2</v>
      </c>
      <c r="P535" s="13" t="n">
        <v>1624</v>
      </c>
      <c r="Q535" s="13" t="n">
        <v>518</v>
      </c>
      <c r="R535" s="13" t="n">
        <v>463</v>
      </c>
      <c r="S535" s="13" t="n">
        <v>52.8</v>
      </c>
    </row>
    <row r="536" ht="18" customHeight="1" s="43">
      <c r="A536" s="3" t="inlineStr">
        <is>
          <t>Chelsea</t>
        </is>
      </c>
      <c r="B536" s="13" t="n">
        <v>29</v>
      </c>
      <c r="C536" s="13" t="n">
        <v>38</v>
      </c>
      <c r="D536" s="13" t="n">
        <v>101</v>
      </c>
      <c r="E536" s="13" t="n">
        <v>2</v>
      </c>
      <c r="F536" s="13" t="n">
        <v>1</v>
      </c>
      <c r="G536" s="13" t="n">
        <v>436</v>
      </c>
      <c r="H536" s="13" t="n">
        <v>444</v>
      </c>
      <c r="I536" s="13" t="n">
        <v>65</v>
      </c>
      <c r="J536" s="13" t="n">
        <v>663</v>
      </c>
      <c r="K536" s="13" t="n">
        <v>272</v>
      </c>
      <c r="L536" s="13" t="n">
        <v>371</v>
      </c>
      <c r="M536" s="13" t="n">
        <v>5</v>
      </c>
      <c r="N536" s="13" t="n">
        <v>6</v>
      </c>
      <c r="O536" s="13" t="n">
        <v>0</v>
      </c>
      <c r="P536" s="13" t="n">
        <v>1577</v>
      </c>
      <c r="Q536" s="13" t="n">
        <v>402</v>
      </c>
      <c r="R536" s="13" t="n">
        <v>390</v>
      </c>
      <c r="S536" s="13" t="n">
        <v>50.8</v>
      </c>
    </row>
    <row r="537" ht="17.1" customHeight="1" s="43">
      <c r="A537" s="3" t="inlineStr">
        <is>
          <t>Crystal Palace</t>
        </is>
      </c>
      <c r="B537" s="13" t="n">
        <v>29</v>
      </c>
      <c r="C537" s="13" t="n">
        <v>38</v>
      </c>
      <c r="D537" s="13" t="n">
        <v>80</v>
      </c>
      <c r="E537" s="13" t="n">
        <v>4</v>
      </c>
      <c r="F537" s="13" t="n">
        <v>3</v>
      </c>
      <c r="G537" s="13" t="n">
        <v>417</v>
      </c>
      <c r="H537" s="13" t="n">
        <v>403</v>
      </c>
      <c r="I537" s="13" t="n">
        <v>74</v>
      </c>
      <c r="J537" s="13" t="n">
        <v>605</v>
      </c>
      <c r="K537" s="13" t="n">
        <v>334</v>
      </c>
      <c r="L537" s="13" t="n">
        <v>450</v>
      </c>
      <c r="M537" s="13" t="n">
        <v>4</v>
      </c>
      <c r="N537" s="13" t="n">
        <v>2</v>
      </c>
      <c r="O537" s="13" t="n">
        <v>3</v>
      </c>
      <c r="P537" s="13" t="n">
        <v>1698</v>
      </c>
      <c r="Q537" s="13" t="n">
        <v>511</v>
      </c>
      <c r="R537" s="13" t="n">
        <v>636</v>
      </c>
      <c r="S537" s="13" t="n">
        <v>44.6</v>
      </c>
    </row>
    <row r="538">
      <c r="A538" s="3" t="inlineStr">
        <is>
          <t>Everton</t>
        </is>
      </c>
      <c r="B538" s="13" t="n">
        <v>26</v>
      </c>
      <c r="C538" s="13" t="n">
        <v>38</v>
      </c>
      <c r="D538" s="13" t="n">
        <v>82</v>
      </c>
      <c r="E538" s="13" t="n">
        <v>2</v>
      </c>
      <c r="F538" s="13" t="n">
        <v>1</v>
      </c>
      <c r="G538" s="13" t="n">
        <v>430</v>
      </c>
      <c r="H538" s="13" t="n">
        <v>384</v>
      </c>
      <c r="I538" s="13" t="n">
        <v>81</v>
      </c>
      <c r="J538" s="13" t="n">
        <v>682</v>
      </c>
      <c r="K538" s="13" t="n">
        <v>345</v>
      </c>
      <c r="L538" s="13" t="n">
        <v>433</v>
      </c>
      <c r="M538" s="13" t="n">
        <v>1</v>
      </c>
      <c r="N538" s="13" t="n">
        <v>2</v>
      </c>
      <c r="O538" s="13" t="n">
        <v>0</v>
      </c>
      <c r="P538" s="13" t="n">
        <v>1524</v>
      </c>
      <c r="Q538" s="13" t="n">
        <v>614</v>
      </c>
      <c r="R538" s="13" t="n">
        <v>564</v>
      </c>
      <c r="S538" s="13" t="n">
        <v>52.1</v>
      </c>
    </row>
    <row r="539">
      <c r="A539" s="3" t="inlineStr">
        <is>
          <t>Fulham</t>
        </is>
      </c>
      <c r="B539" s="13" t="n">
        <v>26</v>
      </c>
      <c r="C539" s="13" t="n">
        <v>38</v>
      </c>
      <c r="D539" s="13" t="n">
        <v>80</v>
      </c>
      <c r="E539" s="13" t="n">
        <v>2</v>
      </c>
      <c r="F539" s="13" t="n">
        <v>0</v>
      </c>
      <c r="G539" s="13" t="n">
        <v>432</v>
      </c>
      <c r="H539" s="13" t="n">
        <v>359</v>
      </c>
      <c r="I539" s="13" t="n">
        <v>43</v>
      </c>
      <c r="J539" s="13" t="n">
        <v>894</v>
      </c>
      <c r="K539" s="13" t="n">
        <v>302</v>
      </c>
      <c r="L539" s="13" t="n">
        <v>411</v>
      </c>
      <c r="M539" s="13" t="n">
        <v>3</v>
      </c>
      <c r="N539" s="13" t="n">
        <v>4</v>
      </c>
      <c r="O539" s="13" t="n">
        <v>2</v>
      </c>
      <c r="P539" s="13" t="n">
        <v>1610</v>
      </c>
      <c r="Q539" s="13" t="n">
        <v>533</v>
      </c>
      <c r="R539" s="13" t="n">
        <v>532</v>
      </c>
      <c r="S539" s="13" t="n">
        <v>50</v>
      </c>
    </row>
    <row r="540">
      <c r="A540" s="3" t="inlineStr">
        <is>
          <t>Ipswich Town</t>
        </is>
      </c>
      <c r="B540" s="13" t="n">
        <v>32</v>
      </c>
      <c r="C540" s="13" t="n">
        <v>38</v>
      </c>
      <c r="D540" s="13" t="n">
        <v>93</v>
      </c>
      <c r="E540" s="13" t="n">
        <v>5</v>
      </c>
      <c r="F540" s="13" t="n">
        <v>4</v>
      </c>
      <c r="G540" s="13" t="n">
        <v>430</v>
      </c>
      <c r="H540" s="13" t="n">
        <v>404</v>
      </c>
      <c r="I540" s="13" t="n">
        <v>52</v>
      </c>
      <c r="J540" s="13" t="n">
        <v>505</v>
      </c>
      <c r="K540" s="13" t="n">
        <v>303</v>
      </c>
      <c r="L540" s="13" t="n">
        <v>340</v>
      </c>
      <c r="M540" s="13" t="n">
        <v>2</v>
      </c>
      <c r="N540" s="13" t="n">
        <v>6</v>
      </c>
      <c r="O540" s="13" t="n">
        <v>2</v>
      </c>
      <c r="P540" s="13" t="n">
        <v>1437</v>
      </c>
      <c r="Q540" s="13" t="n">
        <v>552</v>
      </c>
      <c r="R540" s="13" t="n">
        <v>533</v>
      </c>
      <c r="S540" s="13" t="n">
        <v>50.9</v>
      </c>
    </row>
    <row r="541">
      <c r="A541" s="3" t="inlineStr">
        <is>
          <t>Leicester City</t>
        </is>
      </c>
      <c r="B541" s="13" t="n">
        <v>32</v>
      </c>
      <c r="C541" s="13" t="n">
        <v>38</v>
      </c>
      <c r="D541" s="13" t="n">
        <v>87</v>
      </c>
      <c r="E541" s="13" t="n">
        <v>0</v>
      </c>
      <c r="F541" s="13" t="n">
        <v>0</v>
      </c>
      <c r="G541" s="13" t="n">
        <v>420</v>
      </c>
      <c r="H541" s="13" t="n">
        <v>393</v>
      </c>
      <c r="I541" s="13" t="n">
        <v>63</v>
      </c>
      <c r="J541" s="13" t="n">
        <v>621</v>
      </c>
      <c r="K541" s="13" t="n">
        <v>327</v>
      </c>
      <c r="L541" s="13" t="n">
        <v>431</v>
      </c>
      <c r="M541" s="13" t="n">
        <v>3</v>
      </c>
      <c r="N541" s="13" t="n">
        <v>4</v>
      </c>
      <c r="O541" s="13" t="n">
        <v>3</v>
      </c>
      <c r="P541" s="13" t="n">
        <v>1478</v>
      </c>
      <c r="Q541" s="13" t="n">
        <v>503</v>
      </c>
      <c r="R541" s="13" t="n">
        <v>579</v>
      </c>
      <c r="S541" s="13" t="n">
        <v>46.5</v>
      </c>
    </row>
    <row r="542">
      <c r="A542" s="3" t="inlineStr">
        <is>
          <t>Liverpool</t>
        </is>
      </c>
      <c r="B542" s="13" t="n">
        <v>24</v>
      </c>
      <c r="C542" s="13" t="n">
        <v>38</v>
      </c>
      <c r="D542" s="13" t="n">
        <v>67</v>
      </c>
      <c r="E542" s="13" t="n">
        <v>3</v>
      </c>
      <c r="F542" s="13" t="n">
        <v>1</v>
      </c>
      <c r="G542" s="13" t="n">
        <v>430</v>
      </c>
      <c r="H542" s="13" t="n">
        <v>359</v>
      </c>
      <c r="I542" s="13" t="n">
        <v>60</v>
      </c>
      <c r="J542" s="13" t="n">
        <v>729</v>
      </c>
      <c r="K542" s="13" t="n">
        <v>299</v>
      </c>
      <c r="L542" s="13" t="n">
        <v>391</v>
      </c>
      <c r="M542" s="13" t="n">
        <v>6</v>
      </c>
      <c r="N542" s="13" t="n">
        <v>2</v>
      </c>
      <c r="O542" s="13" t="n">
        <v>2</v>
      </c>
      <c r="P542" s="13" t="n">
        <v>1621</v>
      </c>
      <c r="Q542" s="13" t="n">
        <v>406</v>
      </c>
      <c r="R542" s="13" t="n">
        <v>368</v>
      </c>
      <c r="S542" s="13" t="n">
        <v>52.5</v>
      </c>
    </row>
    <row r="543">
      <c r="A543" s="3" t="inlineStr">
        <is>
          <t>Manchester City</t>
        </is>
      </c>
      <c r="B543" s="13" t="n">
        <v>30</v>
      </c>
      <c r="C543" s="13" t="n">
        <v>38</v>
      </c>
      <c r="D543" s="13" t="n">
        <v>59</v>
      </c>
      <c r="E543" s="13" t="n">
        <v>2</v>
      </c>
      <c r="F543" s="13" t="n">
        <v>1</v>
      </c>
      <c r="G543" s="13" t="n">
        <v>287</v>
      </c>
      <c r="H543" s="13" t="n">
        <v>382</v>
      </c>
      <c r="I543" s="13" t="n">
        <v>45</v>
      </c>
      <c r="J543" s="13" t="n">
        <v>659</v>
      </c>
      <c r="K543" s="13" t="n">
        <v>229</v>
      </c>
      <c r="L543" s="13" t="n">
        <v>299</v>
      </c>
      <c r="M543" s="13" t="n">
        <v>4</v>
      </c>
      <c r="N543" s="13" t="n">
        <v>4</v>
      </c>
      <c r="O543" s="13" t="n">
        <v>2</v>
      </c>
      <c r="P543" s="13" t="n">
        <v>1437</v>
      </c>
      <c r="Q543" s="13" t="n">
        <v>310</v>
      </c>
      <c r="R543" s="13" t="n">
        <v>334</v>
      </c>
      <c r="S543" s="13" t="n">
        <v>48.1</v>
      </c>
    </row>
    <row r="544">
      <c r="A544" s="3" t="inlineStr">
        <is>
          <t>Manchester Utd</t>
        </is>
      </c>
      <c r="B544" s="13" t="n">
        <v>31</v>
      </c>
      <c r="C544" s="13" t="n">
        <v>38</v>
      </c>
      <c r="D544" s="13" t="n">
        <v>86</v>
      </c>
      <c r="E544" s="13" t="n">
        <v>3</v>
      </c>
      <c r="F544" s="13" t="n">
        <v>1</v>
      </c>
      <c r="G544" s="13" t="n">
        <v>403</v>
      </c>
      <c r="H544" s="13" t="n">
        <v>371</v>
      </c>
      <c r="I544" s="13" t="n">
        <v>69</v>
      </c>
      <c r="J544" s="13" t="n">
        <v>630</v>
      </c>
      <c r="K544" s="13" t="n">
        <v>358</v>
      </c>
      <c r="L544" s="13" t="n">
        <v>493</v>
      </c>
      <c r="M544" s="13" t="n">
        <v>4</v>
      </c>
      <c r="N544" s="13" t="n">
        <v>4</v>
      </c>
      <c r="O544" s="13" t="n">
        <v>2</v>
      </c>
      <c r="P544" s="13" t="n">
        <v>1736</v>
      </c>
      <c r="Q544" s="13" t="n">
        <v>486</v>
      </c>
      <c r="R544" s="13" t="n">
        <v>488</v>
      </c>
      <c r="S544" s="13" t="n">
        <v>49.9</v>
      </c>
    </row>
    <row r="545">
      <c r="A545" s="3" t="inlineStr">
        <is>
          <t>Newcastle Utd</t>
        </is>
      </c>
      <c r="B545" s="13" t="n">
        <v>24</v>
      </c>
      <c r="C545" s="13" t="n">
        <v>38</v>
      </c>
      <c r="D545" s="13" t="n">
        <v>68</v>
      </c>
      <c r="E545" s="13" t="n">
        <v>1</v>
      </c>
      <c r="F545" s="13" t="n">
        <v>0</v>
      </c>
      <c r="G545" s="13" t="n">
        <v>394</v>
      </c>
      <c r="H545" s="13" t="n">
        <v>450</v>
      </c>
      <c r="I545" s="13" t="n">
        <v>71</v>
      </c>
      <c r="J545" s="13" t="n">
        <v>705</v>
      </c>
      <c r="K545" s="13" t="n">
        <v>270</v>
      </c>
      <c r="L545" s="13" t="n">
        <v>371</v>
      </c>
      <c r="M545" s="13" t="n">
        <v>4</v>
      </c>
      <c r="N545" s="13" t="n">
        <v>2</v>
      </c>
      <c r="O545" s="13" t="n">
        <v>2</v>
      </c>
      <c r="P545" s="13" t="n">
        <v>1632</v>
      </c>
      <c r="Q545" s="13" t="n">
        <v>487</v>
      </c>
      <c r="R545" s="13" t="n">
        <v>466</v>
      </c>
      <c r="S545" s="13" t="n">
        <v>51.1</v>
      </c>
    </row>
    <row r="546">
      <c r="A546" s="3" t="inlineStr">
        <is>
          <t>Nott'ham Forest</t>
        </is>
      </c>
      <c r="B546" s="13" t="n">
        <v>23</v>
      </c>
      <c r="C546" s="13" t="n">
        <v>38</v>
      </c>
      <c r="D546" s="13" t="n">
        <v>90</v>
      </c>
      <c r="E546" s="13" t="n">
        <v>2</v>
      </c>
      <c r="F546" s="13" t="n">
        <v>2</v>
      </c>
      <c r="G546" s="13" t="n">
        <v>401</v>
      </c>
      <c r="H546" s="13" t="n">
        <v>419</v>
      </c>
      <c r="I546" s="13" t="n">
        <v>91</v>
      </c>
      <c r="J546" s="13" t="n">
        <v>621</v>
      </c>
      <c r="K546" s="13" t="n">
        <v>322</v>
      </c>
      <c r="L546" s="13" t="n">
        <v>419</v>
      </c>
      <c r="M546" s="13" t="n">
        <v>3</v>
      </c>
      <c r="N546" s="13" t="n">
        <v>3</v>
      </c>
      <c r="O546" s="13" t="n">
        <v>0</v>
      </c>
      <c r="P546" s="13" t="n">
        <v>1588</v>
      </c>
      <c r="Q546" s="13" t="n">
        <v>570</v>
      </c>
      <c r="R546" s="13" t="n">
        <v>559</v>
      </c>
      <c r="S546" s="13" t="n">
        <v>50.5</v>
      </c>
    </row>
    <row r="547">
      <c r="A547" s="3" t="inlineStr">
        <is>
          <t>Southampton</t>
        </is>
      </c>
      <c r="B547" s="13" t="n">
        <v>36</v>
      </c>
      <c r="C547" s="13" t="n">
        <v>38</v>
      </c>
      <c r="D547" s="13" t="n">
        <v>89</v>
      </c>
      <c r="E547" s="13" t="n">
        <v>3</v>
      </c>
      <c r="F547" s="13" t="n">
        <v>0</v>
      </c>
      <c r="G547" s="13" t="n">
        <v>459</v>
      </c>
      <c r="H547" s="13" t="n">
        <v>421</v>
      </c>
      <c r="I547" s="13" t="n">
        <v>49</v>
      </c>
      <c r="J547" s="13" t="n">
        <v>548</v>
      </c>
      <c r="K547" s="13" t="n">
        <v>305</v>
      </c>
      <c r="L547" s="13" t="n">
        <v>378</v>
      </c>
      <c r="M547" s="13" t="n">
        <v>2</v>
      </c>
      <c r="N547" s="13" t="n">
        <v>9</v>
      </c>
      <c r="O547" s="13" t="n">
        <v>0</v>
      </c>
      <c r="P547" s="13" t="n">
        <v>1440</v>
      </c>
      <c r="Q547" s="13" t="n">
        <v>468</v>
      </c>
      <c r="R547" s="13" t="n">
        <v>421</v>
      </c>
      <c r="S547" s="13" t="n">
        <v>52.6</v>
      </c>
    </row>
    <row r="548">
      <c r="A548" s="3" t="inlineStr">
        <is>
          <t>Tottenham</t>
        </is>
      </c>
      <c r="B548" s="13" t="n">
        <v>31</v>
      </c>
      <c r="C548" s="13" t="n">
        <v>38</v>
      </c>
      <c r="D548" s="13" t="n">
        <v>72</v>
      </c>
      <c r="E548" s="13" t="n">
        <v>1</v>
      </c>
      <c r="F548" s="13" t="n">
        <v>1</v>
      </c>
      <c r="G548" s="13" t="n">
        <v>446</v>
      </c>
      <c r="H548" s="13" t="n">
        <v>483</v>
      </c>
      <c r="I548" s="13" t="n">
        <v>63</v>
      </c>
      <c r="J548" s="13" t="n">
        <v>752</v>
      </c>
      <c r="K548" s="13" t="n">
        <v>322</v>
      </c>
      <c r="L548" s="13" t="n">
        <v>414</v>
      </c>
      <c r="M548" s="13" t="n">
        <v>4</v>
      </c>
      <c r="N548" s="13" t="n">
        <v>3</v>
      </c>
      <c r="O548" s="13" t="n">
        <v>4</v>
      </c>
      <c r="P548" s="13" t="n">
        <v>1659</v>
      </c>
      <c r="Q548" s="13" t="n">
        <v>422</v>
      </c>
      <c r="R548" s="13" t="n">
        <v>437</v>
      </c>
      <c r="S548" s="13" t="n">
        <v>49.1</v>
      </c>
    </row>
    <row r="549">
      <c r="A549" s="3" t="inlineStr">
        <is>
          <t>West Ham</t>
        </is>
      </c>
      <c r="B549" s="13" t="n">
        <v>27</v>
      </c>
      <c r="C549" s="13" t="n">
        <v>38</v>
      </c>
      <c r="D549" s="13" t="n">
        <v>82</v>
      </c>
      <c r="E549" s="13" t="n">
        <v>3</v>
      </c>
      <c r="F549" s="13" t="n">
        <v>2</v>
      </c>
      <c r="G549" s="13" t="n">
        <v>443</v>
      </c>
      <c r="H549" s="13" t="n">
        <v>397</v>
      </c>
      <c r="I549" s="13" t="n">
        <v>73</v>
      </c>
      <c r="J549" s="13" t="n">
        <v>613</v>
      </c>
      <c r="K549" s="13" t="n">
        <v>331</v>
      </c>
      <c r="L549" s="13" t="n">
        <v>388</v>
      </c>
      <c r="M549" s="13" t="n">
        <v>2</v>
      </c>
      <c r="N549" s="13" t="n">
        <v>3</v>
      </c>
      <c r="O549" s="13" t="n">
        <v>3</v>
      </c>
      <c r="P549" s="13" t="n">
        <v>1558</v>
      </c>
      <c r="Q549" s="13" t="n">
        <v>587</v>
      </c>
      <c r="R549" s="13" t="n">
        <v>560</v>
      </c>
      <c r="S549" s="13" t="n">
        <v>51.2</v>
      </c>
    </row>
    <row r="550">
      <c r="A550" s="3" t="inlineStr">
        <is>
          <t>Wolves</t>
        </is>
      </c>
      <c r="B550" s="13" t="n">
        <v>32</v>
      </c>
      <c r="C550" s="13" t="n">
        <v>38</v>
      </c>
      <c r="D550" s="13" t="n">
        <v>79</v>
      </c>
      <c r="E550" s="13" t="n">
        <v>2</v>
      </c>
      <c r="F550" s="13" t="n">
        <v>2</v>
      </c>
      <c r="G550" s="13" t="n">
        <v>480</v>
      </c>
      <c r="H550" s="13" t="n">
        <v>425</v>
      </c>
      <c r="I550" s="13" t="n">
        <v>62</v>
      </c>
      <c r="J550" s="13" t="n">
        <v>568</v>
      </c>
      <c r="K550" s="13" t="n">
        <v>298</v>
      </c>
      <c r="L550" s="13" t="n">
        <v>471</v>
      </c>
      <c r="M550" s="13" t="n">
        <v>0</v>
      </c>
      <c r="N550" s="13" t="n">
        <v>9</v>
      </c>
      <c r="O550" s="13" t="n">
        <v>3</v>
      </c>
      <c r="P550" s="13" t="n">
        <v>1659</v>
      </c>
      <c r="Q550" s="13" t="n">
        <v>451</v>
      </c>
      <c r="R550" s="13" t="n">
        <v>475</v>
      </c>
      <c r="S550" s="13" t="n">
        <v>48.7</v>
      </c>
    </row>
    <row r="552">
      <c r="A552" s="45" t="inlineStr">
        <is>
          <t>Squad Miscellaneous Stats 2024-2025 Premier League Table</t>
        </is>
      </c>
    </row>
    <row r="553" ht="17.1" customHeight="1" s="43">
      <c r="A553" s="44" t="n"/>
      <c r="D553" s="44" t="inlineStr">
        <is>
          <t>Performance</t>
        </is>
      </c>
      <c r="Q553" s="44" t="inlineStr">
        <is>
          <t>Aerial Duels</t>
        </is>
      </c>
    </row>
    <row r="554">
      <c r="A554" s="44" t="inlineStr">
        <is>
          <t>Squad</t>
        </is>
      </c>
      <c r="B554" s="44" t="inlineStr">
        <is>
          <t># Pl</t>
        </is>
      </c>
      <c r="C554" s="44" t="inlineStr">
        <is>
          <t>90s</t>
        </is>
      </c>
      <c r="D554" s="44" t="inlineStr">
        <is>
          <t>CrdY</t>
        </is>
      </c>
      <c r="E554" s="44" t="inlineStr">
        <is>
          <t>CrdR</t>
        </is>
      </c>
      <c r="F554" s="44" t="inlineStr">
        <is>
          <t>2CrdY</t>
        </is>
      </c>
      <c r="G554" s="44" t="inlineStr">
        <is>
          <t>Fls</t>
        </is>
      </c>
      <c r="H554" s="44" t="inlineStr">
        <is>
          <t>Fld</t>
        </is>
      </c>
      <c r="I554" s="44" t="inlineStr">
        <is>
          <t>Off</t>
        </is>
      </c>
      <c r="J554" s="44" t="inlineStr">
        <is>
          <t>Crs</t>
        </is>
      </c>
      <c r="K554" s="44" t="inlineStr">
        <is>
          <t>Int</t>
        </is>
      </c>
      <c r="L554" s="44" t="inlineStr">
        <is>
          <t>TklW</t>
        </is>
      </c>
      <c r="M554" s="44" t="inlineStr">
        <is>
          <t>PKwon</t>
        </is>
      </c>
      <c r="N554" s="44" t="inlineStr">
        <is>
          <t>PKcon</t>
        </is>
      </c>
      <c r="O554" s="44" t="inlineStr">
        <is>
          <t>OG</t>
        </is>
      </c>
      <c r="P554" s="44" t="inlineStr">
        <is>
          <t>Recov</t>
        </is>
      </c>
      <c r="Q554" s="44" t="inlineStr">
        <is>
          <t>Won</t>
        </is>
      </c>
      <c r="R554" s="44" t="inlineStr">
        <is>
          <t>Lost</t>
        </is>
      </c>
      <c r="S554" s="44" t="inlineStr">
        <is>
          <t>Won%</t>
        </is>
      </c>
    </row>
    <row r="555">
      <c r="A555" s="3" t="inlineStr">
        <is>
          <t>vs Arsenal</t>
        </is>
      </c>
      <c r="B555" s="13" t="n">
        <v>25</v>
      </c>
      <c r="C555" s="13" t="n">
        <v>38</v>
      </c>
      <c r="D555" s="13" t="n">
        <v>83</v>
      </c>
      <c r="E555" s="13" t="n">
        <v>2</v>
      </c>
      <c r="F555" s="13" t="n">
        <v>1</v>
      </c>
      <c r="G555" s="13" t="n">
        <v>416</v>
      </c>
      <c r="H555" s="13" t="n">
        <v>390</v>
      </c>
      <c r="I555" s="13" t="n">
        <v>38</v>
      </c>
      <c r="J555" s="13" t="n">
        <v>534</v>
      </c>
      <c r="K555" s="13" t="n">
        <v>261</v>
      </c>
      <c r="L555" s="13" t="n">
        <v>420</v>
      </c>
      <c r="M555" s="13" t="n">
        <v>3</v>
      </c>
      <c r="N555" s="13" t="n">
        <v>2</v>
      </c>
      <c r="O555" s="13" t="n">
        <v>2</v>
      </c>
      <c r="P555" s="13" t="n">
        <v>1337</v>
      </c>
      <c r="Q555" s="13" t="n">
        <v>465</v>
      </c>
      <c r="R555" s="13" t="n">
        <v>471</v>
      </c>
      <c r="S555" s="13" t="n">
        <v>49.7</v>
      </c>
    </row>
    <row r="556">
      <c r="A556" s="3" t="inlineStr">
        <is>
          <t>vs Aston Villa</t>
        </is>
      </c>
      <c r="B556" s="13" t="n">
        <v>28</v>
      </c>
      <c r="C556" s="13" t="n">
        <v>38</v>
      </c>
      <c r="D556" s="13" t="n">
        <v>104</v>
      </c>
      <c r="E556" s="13" t="n">
        <v>2</v>
      </c>
      <c r="F556" s="13" t="n">
        <v>1</v>
      </c>
      <c r="G556" s="13" t="n">
        <v>510</v>
      </c>
      <c r="H556" s="13" t="n">
        <v>394</v>
      </c>
      <c r="I556" s="13" t="n">
        <v>93</v>
      </c>
      <c r="J556" s="13" t="n">
        <v>683</v>
      </c>
      <c r="K556" s="13" t="n">
        <v>347</v>
      </c>
      <c r="L556" s="13" t="n">
        <v>387</v>
      </c>
      <c r="M556" s="13" t="n">
        <v>2</v>
      </c>
      <c r="N556" s="13" t="n">
        <v>6</v>
      </c>
      <c r="O556" s="13" t="n">
        <v>2</v>
      </c>
      <c r="P556" s="13" t="n">
        <v>1539</v>
      </c>
      <c r="Q556" s="13" t="n">
        <v>423</v>
      </c>
      <c r="R556" s="13" t="n">
        <v>378</v>
      </c>
      <c r="S556" s="13" t="n">
        <v>52.8</v>
      </c>
    </row>
    <row r="557" ht="18" customHeight="1" s="43">
      <c r="A557" s="3" t="inlineStr">
        <is>
          <t>vs Bournemouth</t>
        </is>
      </c>
      <c r="B557" s="13" t="n">
        <v>29</v>
      </c>
      <c r="C557" s="13" t="n">
        <v>38</v>
      </c>
      <c r="D557" s="13" t="n">
        <v>94</v>
      </c>
      <c r="E557" s="13" t="n">
        <v>5</v>
      </c>
      <c r="F557" s="13" t="n">
        <v>3</v>
      </c>
      <c r="G557" s="13" t="n">
        <v>410</v>
      </c>
      <c r="H557" s="13" t="n">
        <v>510</v>
      </c>
      <c r="I557" s="13" t="n">
        <v>42</v>
      </c>
      <c r="J557" s="13" t="n">
        <v>601</v>
      </c>
      <c r="K557" s="13" t="n">
        <v>279</v>
      </c>
      <c r="L557" s="13" t="n">
        <v>396</v>
      </c>
      <c r="M557" s="13" t="n">
        <v>3</v>
      </c>
      <c r="N557" s="13" t="n">
        <v>7</v>
      </c>
      <c r="O557" s="13" t="n">
        <v>1</v>
      </c>
      <c r="P557" s="13" t="n">
        <v>1662</v>
      </c>
      <c r="Q557" s="13" t="n">
        <v>606</v>
      </c>
      <c r="R557" s="13" t="n">
        <v>573</v>
      </c>
      <c r="S557" s="13" t="n">
        <v>51.4</v>
      </c>
    </row>
    <row r="558" ht="17.1" customHeight="1" s="43">
      <c r="A558" s="3" t="inlineStr">
        <is>
          <t>vs Brentford</t>
        </is>
      </c>
      <c r="B558" s="13" t="n">
        <v>28</v>
      </c>
      <c r="C558" s="13" t="n">
        <v>38</v>
      </c>
      <c r="D558" s="13" t="n">
        <v>82</v>
      </c>
      <c r="E558" s="13" t="n">
        <v>3</v>
      </c>
      <c r="F558" s="13" t="n">
        <v>2</v>
      </c>
      <c r="G558" s="13" t="n">
        <v>355</v>
      </c>
      <c r="H558" s="13" t="n">
        <v>316</v>
      </c>
      <c r="I558" s="13" t="n">
        <v>58</v>
      </c>
      <c r="J558" s="13" t="n">
        <v>793</v>
      </c>
      <c r="K558" s="13" t="n">
        <v>287</v>
      </c>
      <c r="L558" s="13" t="n">
        <v>362</v>
      </c>
      <c r="M558" s="13" t="n">
        <v>1</v>
      </c>
      <c r="N558" s="13" t="n">
        <v>6</v>
      </c>
      <c r="O558" s="13" t="n">
        <v>1</v>
      </c>
      <c r="P558" s="13" t="n">
        <v>1678</v>
      </c>
      <c r="Q558" s="13" t="n">
        <v>567</v>
      </c>
      <c r="R558" s="13" t="n">
        <v>624</v>
      </c>
      <c r="S558" s="13" t="n">
        <v>47.6</v>
      </c>
    </row>
    <row r="559">
      <c r="A559" s="3" t="inlineStr">
        <is>
          <t>vs Brighton</t>
        </is>
      </c>
      <c r="B559" s="13" t="n">
        <v>32</v>
      </c>
      <c r="C559" s="13" t="n">
        <v>38</v>
      </c>
      <c r="D559" s="13" t="n">
        <v>93</v>
      </c>
      <c r="E559" s="13" t="n">
        <v>5</v>
      </c>
      <c r="F559" s="13" t="n">
        <v>4</v>
      </c>
      <c r="G559" s="13" t="n">
        <v>427</v>
      </c>
      <c r="H559" s="13" t="n">
        <v>421</v>
      </c>
      <c r="I559" s="13" t="n">
        <v>88</v>
      </c>
      <c r="J559" s="13" t="n">
        <v>543</v>
      </c>
      <c r="K559" s="13" t="n">
        <v>320</v>
      </c>
      <c r="L559" s="13" t="n">
        <v>408</v>
      </c>
      <c r="M559" s="13" t="n">
        <v>7</v>
      </c>
      <c r="N559" s="13" t="n">
        <v>7</v>
      </c>
      <c r="O559" s="13" t="n">
        <v>2</v>
      </c>
      <c r="P559" s="13" t="n">
        <v>1532</v>
      </c>
      <c r="Q559" s="13" t="n">
        <v>463</v>
      </c>
      <c r="R559" s="13" t="n">
        <v>518</v>
      </c>
      <c r="S559" s="13" t="n">
        <v>47.2</v>
      </c>
    </row>
    <row r="560">
      <c r="A560" s="3" t="inlineStr">
        <is>
          <t>vs Chelsea</t>
        </is>
      </c>
      <c r="B560" s="13" t="n">
        <v>29</v>
      </c>
      <c r="C560" s="13" t="n">
        <v>38</v>
      </c>
      <c r="D560" s="13" t="n">
        <v>98</v>
      </c>
      <c r="E560" s="13" t="n">
        <v>2</v>
      </c>
      <c r="F560" s="13" t="n">
        <v>1</v>
      </c>
      <c r="G560" s="13" t="n">
        <v>457</v>
      </c>
      <c r="H560" s="13" t="n">
        <v>422</v>
      </c>
      <c r="I560" s="13" t="n">
        <v>88</v>
      </c>
      <c r="J560" s="13" t="n">
        <v>543</v>
      </c>
      <c r="K560" s="13" t="n">
        <v>286</v>
      </c>
      <c r="L560" s="13" t="n">
        <v>368</v>
      </c>
      <c r="M560" s="13" t="n">
        <v>6</v>
      </c>
      <c r="N560" s="13" t="n">
        <v>5</v>
      </c>
      <c r="O560" s="13" t="n">
        <v>3</v>
      </c>
      <c r="P560" s="13" t="n">
        <v>1483</v>
      </c>
      <c r="Q560" s="13" t="n">
        <v>390</v>
      </c>
      <c r="R560" s="13" t="n">
        <v>402</v>
      </c>
      <c r="S560" s="13" t="n">
        <v>49.2</v>
      </c>
    </row>
    <row r="561" ht="17.1" customHeight="1" s="43">
      <c r="A561" s="3" t="inlineStr">
        <is>
          <t>vs Crystal Palace</t>
        </is>
      </c>
      <c r="B561" s="13" t="n">
        <v>29</v>
      </c>
      <c r="C561" s="13" t="n">
        <v>38</v>
      </c>
      <c r="D561" s="13" t="n">
        <v>84</v>
      </c>
      <c r="E561" s="13" t="n">
        <v>4</v>
      </c>
      <c r="F561" s="13" t="n">
        <v>3</v>
      </c>
      <c r="G561" s="13" t="n">
        <v>418</v>
      </c>
      <c r="H561" s="13" t="n">
        <v>398</v>
      </c>
      <c r="I561" s="13" t="n">
        <v>47</v>
      </c>
      <c r="J561" s="13" t="n">
        <v>716</v>
      </c>
      <c r="K561" s="13" t="n">
        <v>342</v>
      </c>
      <c r="L561" s="13" t="n">
        <v>319</v>
      </c>
      <c r="M561" s="13" t="n">
        <v>2</v>
      </c>
      <c r="N561" s="13" t="n">
        <v>4</v>
      </c>
      <c r="O561" s="13" t="n">
        <v>2</v>
      </c>
      <c r="P561" s="13" t="n">
        <v>1723</v>
      </c>
      <c r="Q561" s="13" t="n">
        <v>636</v>
      </c>
      <c r="R561" s="13" t="n">
        <v>511</v>
      </c>
      <c r="S561" s="13" t="n">
        <v>55.4</v>
      </c>
    </row>
    <row r="562">
      <c r="A562" s="3" t="inlineStr">
        <is>
          <t>vs Everton</t>
        </is>
      </c>
      <c r="B562" s="13" t="n">
        <v>26</v>
      </c>
      <c r="C562" s="13" t="n">
        <v>38</v>
      </c>
      <c r="D562" s="13" t="n">
        <v>46</v>
      </c>
      <c r="E562" s="13" t="n">
        <v>2</v>
      </c>
      <c r="F562" s="13" t="n">
        <v>1</v>
      </c>
      <c r="G562" s="13" t="n">
        <v>395</v>
      </c>
      <c r="H562" s="13" t="n">
        <v>420</v>
      </c>
      <c r="I562" s="13" t="n">
        <v>51</v>
      </c>
      <c r="J562" s="13" t="n">
        <v>731</v>
      </c>
      <c r="K562" s="13" t="n">
        <v>235</v>
      </c>
      <c r="L562" s="13" t="n">
        <v>424</v>
      </c>
      <c r="M562" s="13" t="n">
        <v>2</v>
      </c>
      <c r="N562" s="13" t="n">
        <v>2</v>
      </c>
      <c r="O562" s="13" t="n">
        <v>3</v>
      </c>
      <c r="P562" s="13" t="n">
        <v>1565</v>
      </c>
      <c r="Q562" s="13" t="n">
        <v>564</v>
      </c>
      <c r="R562" s="13" t="n">
        <v>614</v>
      </c>
      <c r="S562" s="13" t="n">
        <v>47.9</v>
      </c>
    </row>
    <row r="563">
      <c r="A563" s="3" t="inlineStr">
        <is>
          <t>vs Fulham</t>
        </is>
      </c>
      <c r="B563" s="13" t="n">
        <v>26</v>
      </c>
      <c r="C563" s="13" t="n">
        <v>38</v>
      </c>
      <c r="D563" s="13" t="n">
        <v>67</v>
      </c>
      <c r="E563" s="13" t="n">
        <v>3</v>
      </c>
      <c r="F563" s="13" t="n">
        <v>1</v>
      </c>
      <c r="G563" s="13" t="n">
        <v>371</v>
      </c>
      <c r="H563" s="13" t="n">
        <v>425</v>
      </c>
      <c r="I563" s="13" t="n">
        <v>83</v>
      </c>
      <c r="J563" s="13" t="n">
        <v>632</v>
      </c>
      <c r="K563" s="13" t="n">
        <v>336</v>
      </c>
      <c r="L563" s="13" t="n">
        <v>306</v>
      </c>
      <c r="M563" s="13" t="n">
        <v>4</v>
      </c>
      <c r="N563" s="13" t="n">
        <v>4</v>
      </c>
      <c r="O563" s="13" t="n">
        <v>1</v>
      </c>
      <c r="P563" s="13" t="n">
        <v>1585</v>
      </c>
      <c r="Q563" s="13" t="n">
        <v>532</v>
      </c>
      <c r="R563" s="13" t="n">
        <v>533</v>
      </c>
      <c r="S563" s="13" t="n">
        <v>50</v>
      </c>
    </row>
    <row r="564">
      <c r="A564" s="3" t="inlineStr">
        <is>
          <t>vs Ipswich Town</t>
        </is>
      </c>
      <c r="B564" s="13" t="n">
        <v>32</v>
      </c>
      <c r="C564" s="13" t="n">
        <v>38</v>
      </c>
      <c r="D564" s="13" t="n">
        <v>65</v>
      </c>
      <c r="E564" s="13" t="n">
        <v>2</v>
      </c>
      <c r="F564" s="13" t="n">
        <v>1</v>
      </c>
      <c r="G564" s="13" t="n">
        <v>414</v>
      </c>
      <c r="H564" s="13" t="n">
        <v>414</v>
      </c>
      <c r="I564" s="13" t="n">
        <v>42</v>
      </c>
      <c r="J564" s="13" t="n">
        <v>778</v>
      </c>
      <c r="K564" s="13" t="n">
        <v>242</v>
      </c>
      <c r="L564" s="13" t="n">
        <v>366</v>
      </c>
      <c r="M564" s="13" t="n">
        <v>6</v>
      </c>
      <c r="N564" s="13" t="n">
        <v>2</v>
      </c>
      <c r="O564" s="13" t="n">
        <v>1</v>
      </c>
      <c r="P564" s="13" t="n">
        <v>1596</v>
      </c>
      <c r="Q564" s="13" t="n">
        <v>533</v>
      </c>
      <c r="R564" s="13" t="n">
        <v>552</v>
      </c>
      <c r="S564" s="13" t="n">
        <v>49.1</v>
      </c>
    </row>
    <row r="565">
      <c r="A565" s="3" t="inlineStr">
        <is>
          <t>vs Leicester City</t>
        </is>
      </c>
      <c r="B565" s="13" t="n">
        <v>32</v>
      </c>
      <c r="C565" s="13" t="n">
        <v>38</v>
      </c>
      <c r="D565" s="13" t="n">
        <v>58</v>
      </c>
      <c r="E565" s="13" t="n">
        <v>2</v>
      </c>
      <c r="F565" s="13" t="n">
        <v>1</v>
      </c>
      <c r="G565" s="13" t="n">
        <v>403</v>
      </c>
      <c r="H565" s="13" t="n">
        <v>412</v>
      </c>
      <c r="I565" s="13" t="n">
        <v>61</v>
      </c>
      <c r="J565" s="13" t="n">
        <v>751</v>
      </c>
      <c r="K565" s="13" t="n">
        <v>269</v>
      </c>
      <c r="L565" s="13" t="n">
        <v>411</v>
      </c>
      <c r="M565" s="13" t="n">
        <v>3</v>
      </c>
      <c r="N565" s="13" t="n">
        <v>3</v>
      </c>
      <c r="O565" s="13" t="n">
        <v>0</v>
      </c>
      <c r="P565" s="13" t="n">
        <v>1655</v>
      </c>
      <c r="Q565" s="13" t="n">
        <v>579</v>
      </c>
      <c r="R565" s="13" t="n">
        <v>503</v>
      </c>
      <c r="S565" s="13" t="n">
        <v>53.5</v>
      </c>
    </row>
    <row r="566">
      <c r="A566" s="3" t="inlineStr">
        <is>
          <t>vs Liverpool</t>
        </is>
      </c>
      <c r="B566" s="13" t="n">
        <v>24</v>
      </c>
      <c r="C566" s="13" t="n">
        <v>38</v>
      </c>
      <c r="D566" s="13" t="n">
        <v>84</v>
      </c>
      <c r="E566" s="13" t="n">
        <v>2</v>
      </c>
      <c r="F566" s="13" t="n">
        <v>2</v>
      </c>
      <c r="G566" s="13" t="n">
        <v>371</v>
      </c>
      <c r="H566" s="13" t="n">
        <v>419</v>
      </c>
      <c r="I566" s="13" t="n">
        <v>96</v>
      </c>
      <c r="J566" s="13" t="n">
        <v>500</v>
      </c>
      <c r="K566" s="13" t="n">
        <v>320</v>
      </c>
      <c r="L566" s="13" t="n">
        <v>402</v>
      </c>
      <c r="M566" s="13" t="n">
        <v>2</v>
      </c>
      <c r="N566" s="13" t="n">
        <v>9</v>
      </c>
      <c r="O566" s="13" t="n">
        <v>1</v>
      </c>
      <c r="P566" s="13" t="n">
        <v>1576</v>
      </c>
      <c r="Q566" s="13" t="n">
        <v>368</v>
      </c>
      <c r="R566" s="13" t="n">
        <v>406</v>
      </c>
      <c r="S566" s="13" t="n">
        <v>47.5</v>
      </c>
    </row>
    <row r="567">
      <c r="A567" s="3" t="inlineStr">
        <is>
          <t>vs Manchester City</t>
        </is>
      </c>
      <c r="B567" s="13" t="n">
        <v>30</v>
      </c>
      <c r="C567" s="13" t="n">
        <v>38</v>
      </c>
      <c r="D567" s="13" t="n">
        <v>88</v>
      </c>
      <c r="E567" s="13" t="n">
        <v>2</v>
      </c>
      <c r="F567" s="13" t="n">
        <v>1</v>
      </c>
      <c r="G567" s="13" t="n">
        <v>387</v>
      </c>
      <c r="H567" s="13" t="n">
        <v>276</v>
      </c>
      <c r="I567" s="13" t="n">
        <v>85</v>
      </c>
      <c r="J567" s="13" t="n">
        <v>455</v>
      </c>
      <c r="K567" s="13" t="n">
        <v>310</v>
      </c>
      <c r="L567" s="13" t="n">
        <v>399</v>
      </c>
      <c r="M567" s="13" t="n">
        <v>4</v>
      </c>
      <c r="N567" s="13" t="n">
        <v>4</v>
      </c>
      <c r="O567" s="13" t="n">
        <v>1</v>
      </c>
      <c r="P567" s="13" t="n">
        <v>1319</v>
      </c>
      <c r="Q567" s="13" t="n">
        <v>334</v>
      </c>
      <c r="R567" s="13" t="n">
        <v>310</v>
      </c>
      <c r="S567" s="13" t="n">
        <v>51.9</v>
      </c>
    </row>
    <row r="568">
      <c r="A568" s="3" t="inlineStr">
        <is>
          <t>vs Manchester Utd</t>
        </is>
      </c>
      <c r="B568" s="13" t="n">
        <v>31</v>
      </c>
      <c r="C568" s="13" t="n">
        <v>38</v>
      </c>
      <c r="D568" s="13" t="n">
        <v>71</v>
      </c>
      <c r="E568" s="13" t="n">
        <v>3</v>
      </c>
      <c r="F568" s="13" t="n">
        <v>0</v>
      </c>
      <c r="G568" s="13" t="n">
        <v>385</v>
      </c>
      <c r="H568" s="13" t="n">
        <v>387</v>
      </c>
      <c r="I568" s="13" t="n">
        <v>57</v>
      </c>
      <c r="J568" s="13" t="n">
        <v>598</v>
      </c>
      <c r="K568" s="13" t="n">
        <v>325</v>
      </c>
      <c r="L568" s="13" t="n">
        <v>414</v>
      </c>
      <c r="M568" s="13" t="n">
        <v>3</v>
      </c>
      <c r="N568" s="13" t="n">
        <v>4</v>
      </c>
      <c r="O568" s="13" t="n">
        <v>2</v>
      </c>
      <c r="P568" s="13" t="n">
        <v>1690</v>
      </c>
      <c r="Q568" s="13" t="n">
        <v>488</v>
      </c>
      <c r="R568" s="13" t="n">
        <v>486</v>
      </c>
      <c r="S568" s="13" t="n">
        <v>50.1</v>
      </c>
    </row>
    <row r="569">
      <c r="A569" s="3" t="inlineStr">
        <is>
          <t>vs Newcastle Utd</t>
        </is>
      </c>
      <c r="B569" s="13" t="n">
        <v>24</v>
      </c>
      <c r="C569" s="13" t="n">
        <v>38</v>
      </c>
      <c r="D569" s="13" t="n">
        <v>97</v>
      </c>
      <c r="E569" s="13" t="n">
        <v>3</v>
      </c>
      <c r="F569" s="13" t="n">
        <v>1</v>
      </c>
      <c r="G569" s="13" t="n">
        <v>464</v>
      </c>
      <c r="H569" s="13" t="n">
        <v>385</v>
      </c>
      <c r="I569" s="13" t="n">
        <v>43</v>
      </c>
      <c r="J569" s="13" t="n">
        <v>651</v>
      </c>
      <c r="K569" s="13" t="n">
        <v>301</v>
      </c>
      <c r="L569" s="13" t="n">
        <v>433</v>
      </c>
      <c r="M569" s="13" t="n">
        <v>2</v>
      </c>
      <c r="N569" s="13" t="n">
        <v>6</v>
      </c>
      <c r="O569" s="13" t="n">
        <v>2</v>
      </c>
      <c r="P569" s="13" t="n">
        <v>1634</v>
      </c>
      <c r="Q569" s="13" t="n">
        <v>466</v>
      </c>
      <c r="R569" s="13" t="n">
        <v>487</v>
      </c>
      <c r="S569" s="13" t="n">
        <v>48.9</v>
      </c>
    </row>
    <row r="570">
      <c r="A570" s="3" t="inlineStr">
        <is>
          <t>vs Nott'ham Forest</t>
        </is>
      </c>
      <c r="B570" s="13" t="n">
        <v>23</v>
      </c>
      <c r="C570" s="13" t="n">
        <v>38</v>
      </c>
      <c r="D570" s="13" t="n">
        <v>104</v>
      </c>
      <c r="E570" s="13" t="n">
        <v>2</v>
      </c>
      <c r="F570" s="13" t="n">
        <v>2</v>
      </c>
      <c r="G570" s="13" t="n">
        <v>434</v>
      </c>
      <c r="H570" s="13" t="n">
        <v>390</v>
      </c>
      <c r="I570" s="13" t="n">
        <v>36</v>
      </c>
      <c r="J570" s="13" t="n">
        <v>886</v>
      </c>
      <c r="K570" s="13" t="n">
        <v>265</v>
      </c>
      <c r="L570" s="13" t="n">
        <v>365</v>
      </c>
      <c r="M570" s="13" t="n">
        <v>2</v>
      </c>
      <c r="N570" s="13" t="n">
        <v>3</v>
      </c>
      <c r="O570" s="13" t="n">
        <v>1</v>
      </c>
      <c r="P570" s="13" t="n">
        <v>1545</v>
      </c>
      <c r="Q570" s="13" t="n">
        <v>559</v>
      </c>
      <c r="R570" s="13" t="n">
        <v>570</v>
      </c>
      <c r="S570" s="13" t="n">
        <v>49.5</v>
      </c>
    </row>
    <row r="571">
      <c r="A571" s="3" t="inlineStr">
        <is>
          <t>vs Southampton</t>
        </is>
      </c>
      <c r="B571" s="13" t="n">
        <v>36</v>
      </c>
      <c r="C571" s="13" t="n">
        <v>38</v>
      </c>
      <c r="D571" s="13" t="n">
        <v>54</v>
      </c>
      <c r="E571" s="13" t="n">
        <v>1</v>
      </c>
      <c r="F571" s="13" t="n">
        <v>0</v>
      </c>
      <c r="G571" s="13" t="n">
        <v>435</v>
      </c>
      <c r="H571" s="13" t="n">
        <v>445</v>
      </c>
      <c r="I571" s="13" t="n">
        <v>49</v>
      </c>
      <c r="J571" s="13" t="n">
        <v>758</v>
      </c>
      <c r="K571" s="13" t="n">
        <v>311</v>
      </c>
      <c r="L571" s="13" t="n">
        <v>405</v>
      </c>
      <c r="M571" s="13" t="n">
        <v>7</v>
      </c>
      <c r="N571" s="13" t="n">
        <v>2</v>
      </c>
      <c r="O571" s="13" t="n">
        <v>1</v>
      </c>
      <c r="P571" s="13" t="n">
        <v>1635</v>
      </c>
      <c r="Q571" s="13" t="n">
        <v>421</v>
      </c>
      <c r="R571" s="13" t="n">
        <v>468</v>
      </c>
      <c r="S571" s="13" t="n">
        <v>47.4</v>
      </c>
    </row>
    <row r="572">
      <c r="A572" s="3" t="inlineStr">
        <is>
          <t>vs Tottenham</t>
        </is>
      </c>
      <c r="B572" s="13" t="n">
        <v>31</v>
      </c>
      <c r="C572" s="13" t="n">
        <v>38</v>
      </c>
      <c r="D572" s="13" t="n">
        <v>85</v>
      </c>
      <c r="E572" s="13" t="n">
        <v>3</v>
      </c>
      <c r="F572" s="13" t="n">
        <v>0</v>
      </c>
      <c r="G572" s="13" t="n">
        <v>494</v>
      </c>
      <c r="H572" s="13" t="n">
        <v>431</v>
      </c>
      <c r="I572" s="13" t="n">
        <v>87</v>
      </c>
      <c r="J572" s="13" t="n">
        <v>697</v>
      </c>
      <c r="K572" s="13" t="n">
        <v>391</v>
      </c>
      <c r="L572" s="13" t="n">
        <v>548</v>
      </c>
      <c r="M572" s="13" t="n">
        <v>3</v>
      </c>
      <c r="N572" s="13" t="n">
        <v>4</v>
      </c>
      <c r="O572" s="13" t="n">
        <v>3</v>
      </c>
      <c r="P572" s="13" t="n">
        <v>1652</v>
      </c>
      <c r="Q572" s="13" t="n">
        <v>437</v>
      </c>
      <c r="R572" s="13" t="n">
        <v>422</v>
      </c>
      <c r="S572" s="13" t="n">
        <v>50.9</v>
      </c>
    </row>
    <row r="573">
      <c r="A573" s="3" t="inlineStr">
        <is>
          <t>vs West Ham</t>
        </is>
      </c>
      <c r="B573" s="13" t="n">
        <v>27</v>
      </c>
      <c r="C573" s="13" t="n">
        <v>38</v>
      </c>
      <c r="D573" s="13" t="n">
        <v>56</v>
      </c>
      <c r="E573" s="13" t="n">
        <v>1</v>
      </c>
      <c r="F573" s="13" t="n">
        <v>0</v>
      </c>
      <c r="G573" s="13" t="n">
        <v>410</v>
      </c>
      <c r="H573" s="13" t="n">
        <v>428</v>
      </c>
      <c r="I573" s="13" t="n">
        <v>55</v>
      </c>
      <c r="J573" s="13" t="n">
        <v>811</v>
      </c>
      <c r="K573" s="13" t="n">
        <v>298</v>
      </c>
      <c r="L573" s="13" t="n">
        <v>435</v>
      </c>
      <c r="M573" s="13" t="n">
        <v>3</v>
      </c>
      <c r="N573" s="13" t="n">
        <v>3</v>
      </c>
      <c r="O573" s="13" t="n">
        <v>3</v>
      </c>
      <c r="P573" s="13" t="n">
        <v>1582</v>
      </c>
      <c r="Q573" s="13" t="n">
        <v>560</v>
      </c>
      <c r="R573" s="13" t="n">
        <v>587</v>
      </c>
      <c r="S573" s="13" t="n">
        <v>48.8</v>
      </c>
    </row>
    <row r="574">
      <c r="A574" s="3" t="inlineStr">
        <is>
          <t>vs Wolves</t>
        </is>
      </c>
      <c r="B574" s="13" t="n">
        <v>32</v>
      </c>
      <c r="C574" s="13" t="n">
        <v>38</v>
      </c>
      <c r="D574" s="13" t="n">
        <v>85</v>
      </c>
      <c r="E574" s="13" t="n">
        <v>3</v>
      </c>
      <c r="F574" s="13" t="n">
        <v>1</v>
      </c>
      <c r="G574" s="13" t="n">
        <v>442</v>
      </c>
      <c r="H574" s="13" t="n">
        <v>465</v>
      </c>
      <c r="I574" s="13" t="n">
        <v>76</v>
      </c>
      <c r="J574" s="13" t="n">
        <v>714</v>
      </c>
      <c r="K574" s="13" t="n">
        <v>308</v>
      </c>
      <c r="L574" s="13" t="n">
        <v>422</v>
      </c>
      <c r="M574" s="13" t="n">
        <v>9</v>
      </c>
      <c r="N574" s="13" t="n">
        <v>0</v>
      </c>
      <c r="O574" s="13" t="n">
        <v>1</v>
      </c>
      <c r="P574" s="13" t="n">
        <v>1609</v>
      </c>
      <c r="Q574" s="13" t="n">
        <v>475</v>
      </c>
      <c r="R574" s="13" t="n">
        <v>451</v>
      </c>
      <c r="S574" s="13" t="n">
        <v>51.3</v>
      </c>
    </row>
    <row r="579" ht="18" customHeight="1" s="43"/>
    <row r="580" ht="17.1" customHeight="1" s="43"/>
    <row r="585" ht="17.1" customHeight="1" s="43"/>
    <row r="609" ht="15.95" customHeight="1" s="43"/>
    <row r="610" ht="47.25" customHeight="1" s="43">
      <c r="AY610" s="20" t="inlineStr">
        <is>
          <t>Fouls Commited Per Game</t>
        </is>
      </c>
      <c r="AZ610" s="20" t="inlineStr">
        <is>
          <t>Fouls Drawn Per Game</t>
        </is>
      </c>
      <c r="BA610" s="20" t="inlineStr">
        <is>
          <t>Aerial Duels Won Per Game</t>
        </is>
      </c>
      <c r="BD610" s="20" t="inlineStr">
        <is>
          <t>Fouls Commited Per Game</t>
        </is>
      </c>
      <c r="BE610" s="20" t="inlineStr">
        <is>
          <t>Fouls Drawn Per Game</t>
        </is>
      </c>
      <c r="BF610" s="20" t="inlineStr">
        <is>
          <t>Aerial Duels Won Per Game</t>
        </is>
      </c>
      <c r="BG610" s="20" t="inlineStr">
        <is>
          <t>Penalty Kicks Won</t>
        </is>
      </c>
      <c r="BH610" s="20" t="inlineStr">
        <is>
          <t>Penalty Kicks Given Away</t>
        </is>
      </c>
    </row>
    <row r="611">
      <c r="AX611">
        <f>VLOOKUP(#REF!,Helpers!$B$4:$C$30,2,0)</f>
        <v/>
      </c>
      <c r="AY611" s="2">
        <f>#REF!/#REF!</f>
        <v/>
      </c>
      <c r="AZ611" s="2">
        <f>#REF!/#REF!</f>
        <v/>
      </c>
      <c r="BA611" s="2">
        <f>#REF!/#REF!</f>
        <v/>
      </c>
      <c r="BC611">
        <f>AX611</f>
        <v/>
      </c>
      <c r="BD611">
        <f>IF(IF(COUNTIF(BL$611:BL$630,BL611)&gt;1,TRUE,FALSE),"T"&amp;BL611,BL611)</f>
        <v/>
      </c>
      <c r="BE611">
        <f>IF(IF(COUNTIF(BM$611:BM$630,BM611)&gt;1,TRUE,FALSE),"T"&amp;BM611,BM611)</f>
        <v/>
      </c>
      <c r="BF611">
        <f>IF(IF(COUNTIF(BN$611:BN$630,BN611)&gt;1,TRUE,FALSE),"T"&amp;BN611,BN611)</f>
        <v/>
      </c>
      <c r="BG611">
        <f>IF(IF(COUNTIF(BO$611:BO$630,BO611)&gt;1,TRUE,FALSE),"T"&amp;BO611,BO611)</f>
        <v/>
      </c>
      <c r="BH611">
        <f>IF(IF(COUNTIF(BP$611:BP$630,BP611)&gt;1,TRUE,FALSE),"T"&amp;BP611,BP611)</f>
        <v/>
      </c>
      <c r="BL611" s="2">
        <f>RANK(AY611,AY$611:AY$630,1)</f>
        <v/>
      </c>
      <c r="BM611" s="2">
        <f>RANK(AZ611,AZ$611:AZ$630,0)</f>
        <v/>
      </c>
      <c r="BN611" s="2">
        <f>RANK(BA611,BA$611:BA$630,0)</f>
        <v/>
      </c>
      <c r="BO611" s="2">
        <f>RANK(#REF!,#REF!,0)</f>
        <v/>
      </c>
      <c r="BP611" s="2">
        <f>RANK(#REF!,#REF!,1)</f>
        <v/>
      </c>
    </row>
    <row r="612">
      <c r="AX612">
        <f>VLOOKUP(#REF!,Helpers!$B$4:$C$30,2,0)</f>
        <v/>
      </c>
      <c r="AY612" s="2">
        <f>#REF!/#REF!</f>
        <v/>
      </c>
      <c r="AZ612" s="2">
        <f>#REF!/#REF!</f>
        <v/>
      </c>
      <c r="BA612" s="2">
        <f>#REF!/#REF!</f>
        <v/>
      </c>
      <c r="BC612">
        <f>AX612</f>
        <v/>
      </c>
      <c r="BD612">
        <f>IF(IF(COUNTIF(BL$611:BL$630,BL612)&gt;1,TRUE,FALSE),"T"&amp;BL612,BL612)</f>
        <v/>
      </c>
      <c r="BE612">
        <f>IF(IF(COUNTIF(BM$611:BM$630,BM612)&gt;1,TRUE,FALSE),"T"&amp;BM612,BM612)</f>
        <v/>
      </c>
      <c r="BF612">
        <f>IF(IF(COUNTIF(BN$611:BN$630,BN612)&gt;1,TRUE,FALSE),"T"&amp;BN612,BN612)</f>
        <v/>
      </c>
      <c r="BG612">
        <f>IF(IF(COUNTIF(BO$611:BO$630,BO612)&gt;1,TRUE,FALSE),"T"&amp;BO612,BO612)</f>
        <v/>
      </c>
      <c r="BH612">
        <f>IF(IF(COUNTIF(BP$611:BP$630,BP612)&gt;1,TRUE,FALSE),"T"&amp;BP612,BP612)</f>
        <v/>
      </c>
      <c r="BL612" s="2">
        <f>RANK(AY612,AY$611:AY$630,1)</f>
        <v/>
      </c>
      <c r="BM612" s="2">
        <f>RANK(AZ612,AZ$611:AZ$630,0)</f>
        <v/>
      </c>
      <c r="BN612" s="2">
        <f>RANK(BA612,BA$611:BA$630,0)</f>
        <v/>
      </c>
      <c r="BO612" s="2">
        <f>RANK(#REF!,#REF!,0)</f>
        <v/>
      </c>
      <c r="BP612" s="2">
        <f>RANK(#REF!,#REF!,1)</f>
        <v/>
      </c>
    </row>
    <row r="613">
      <c r="AX613">
        <f>VLOOKUP(#REF!,Helpers!$B$4:$C$30,2,0)</f>
        <v/>
      </c>
      <c r="AY613" s="2">
        <f>#REF!/#REF!</f>
        <v/>
      </c>
      <c r="AZ613" s="2">
        <f>#REF!/#REF!</f>
        <v/>
      </c>
      <c r="BA613" s="2">
        <f>#REF!/#REF!</f>
        <v/>
      </c>
      <c r="BC613">
        <f>AX613</f>
        <v/>
      </c>
      <c r="BD613">
        <f>IF(IF(COUNTIF(BL$611:BL$630,BL613)&gt;1,TRUE,FALSE),"T"&amp;BL613,BL613)</f>
        <v/>
      </c>
      <c r="BE613">
        <f>IF(IF(COUNTIF(BM$611:BM$630,BM613)&gt;1,TRUE,FALSE),"T"&amp;BM613,BM613)</f>
        <v/>
      </c>
      <c r="BF613">
        <f>IF(IF(COUNTIF(BN$611:BN$630,BN613)&gt;1,TRUE,FALSE),"T"&amp;BN613,BN613)</f>
        <v/>
      </c>
      <c r="BG613">
        <f>IF(IF(COUNTIF(BO$611:BO$630,BO613)&gt;1,TRUE,FALSE),"T"&amp;BO613,BO613)</f>
        <v/>
      </c>
      <c r="BH613">
        <f>IF(IF(COUNTIF(BP$611:BP$630,BP613)&gt;1,TRUE,FALSE),"T"&amp;BP613,BP613)</f>
        <v/>
      </c>
      <c r="BL613" s="2">
        <f>RANK(AY613,AY$611:AY$630,1)</f>
        <v/>
      </c>
      <c r="BM613" s="2">
        <f>RANK(AZ613,AZ$611:AZ$630,0)</f>
        <v/>
      </c>
      <c r="BN613" s="2">
        <f>RANK(BA613,BA$611:BA$630,0)</f>
        <v/>
      </c>
      <c r="BO613" s="2">
        <f>RANK(#REF!,#REF!,0)</f>
        <v/>
      </c>
      <c r="BP613" s="2">
        <f>RANK(#REF!,#REF!,1)</f>
        <v/>
      </c>
    </row>
    <row r="614">
      <c r="AX614">
        <f>VLOOKUP(#REF!,Helpers!$B$4:$C$30,2,0)</f>
        <v/>
      </c>
      <c r="AY614" s="2">
        <f>#REF!/#REF!</f>
        <v/>
      </c>
      <c r="AZ614" s="2">
        <f>#REF!/#REF!</f>
        <v/>
      </c>
      <c r="BA614" s="2">
        <f>#REF!/#REF!</f>
        <v/>
      </c>
      <c r="BC614">
        <f>AX614</f>
        <v/>
      </c>
      <c r="BD614">
        <f>IF(IF(COUNTIF(BL$611:BL$630,BL614)&gt;1,TRUE,FALSE),"T"&amp;BL614,BL614)</f>
        <v/>
      </c>
      <c r="BE614">
        <f>IF(IF(COUNTIF(BM$611:BM$630,BM614)&gt;1,TRUE,FALSE),"T"&amp;BM614,BM614)</f>
        <v/>
      </c>
      <c r="BF614">
        <f>IF(IF(COUNTIF(BN$611:BN$630,BN614)&gt;1,TRUE,FALSE),"T"&amp;BN614,BN614)</f>
        <v/>
      </c>
      <c r="BG614">
        <f>IF(IF(COUNTIF(BO$611:BO$630,BO614)&gt;1,TRUE,FALSE),"T"&amp;BO614,BO614)</f>
        <v/>
      </c>
      <c r="BH614">
        <f>IF(IF(COUNTIF(BP$611:BP$630,BP614)&gt;1,TRUE,FALSE),"T"&amp;BP614,BP614)</f>
        <v/>
      </c>
      <c r="BL614" s="2">
        <f>RANK(AY614,AY$611:AY$630,1)</f>
        <v/>
      </c>
      <c r="BM614" s="2">
        <f>RANK(AZ614,AZ$611:AZ$630,0)</f>
        <v/>
      </c>
      <c r="BN614" s="2">
        <f>RANK(BA614,BA$611:BA$630,0)</f>
        <v/>
      </c>
      <c r="BO614" s="2">
        <f>RANK(#REF!,#REF!,0)</f>
        <v/>
      </c>
      <c r="BP614" s="2">
        <f>RANK(#REF!,#REF!,1)</f>
        <v/>
      </c>
    </row>
    <row r="615">
      <c r="AX615">
        <f>VLOOKUP(#REF!,Helpers!$B$4:$C$30,2,0)</f>
        <v/>
      </c>
      <c r="AY615" s="2">
        <f>#REF!/#REF!</f>
        <v/>
      </c>
      <c r="AZ615" s="2">
        <f>#REF!/#REF!</f>
        <v/>
      </c>
      <c r="BA615" s="2">
        <f>#REF!/#REF!</f>
        <v/>
      </c>
      <c r="BC615">
        <f>AX615</f>
        <v/>
      </c>
      <c r="BD615">
        <f>IF(IF(COUNTIF(BL$611:BL$630,BL615)&gt;1,TRUE,FALSE),"T"&amp;BL615,BL615)</f>
        <v/>
      </c>
      <c r="BE615">
        <f>IF(IF(COUNTIF(BM$611:BM$630,BM615)&gt;1,TRUE,FALSE),"T"&amp;BM615,BM615)</f>
        <v/>
      </c>
      <c r="BF615">
        <f>IF(IF(COUNTIF(BN$611:BN$630,BN615)&gt;1,TRUE,FALSE),"T"&amp;BN615,BN615)</f>
        <v/>
      </c>
      <c r="BG615">
        <f>IF(IF(COUNTIF(BO$611:BO$630,BO615)&gt;1,TRUE,FALSE),"T"&amp;BO615,BO615)</f>
        <v/>
      </c>
      <c r="BH615">
        <f>IF(IF(COUNTIF(BP$611:BP$630,BP615)&gt;1,TRUE,FALSE),"T"&amp;BP615,BP615)</f>
        <v/>
      </c>
      <c r="BL615" s="2">
        <f>RANK(AY615,AY$611:AY$630,1)</f>
        <v/>
      </c>
      <c r="BM615" s="2">
        <f>RANK(AZ615,AZ$611:AZ$630,0)</f>
        <v/>
      </c>
      <c r="BN615" s="2">
        <f>RANK(BA615,BA$611:BA$630,0)</f>
        <v/>
      </c>
      <c r="BO615" s="2">
        <f>RANK(#REF!,#REF!,0)</f>
        <v/>
      </c>
      <c r="BP615" s="2">
        <f>RANK(#REF!,#REF!,1)</f>
        <v/>
      </c>
    </row>
    <row r="616">
      <c r="AX616">
        <f>VLOOKUP(#REF!,Helpers!$B$4:$C$30,2,0)</f>
        <v/>
      </c>
      <c r="AY616" s="2">
        <f>#REF!/#REF!</f>
        <v/>
      </c>
      <c r="AZ616" s="2">
        <f>#REF!/#REF!</f>
        <v/>
      </c>
      <c r="BA616" s="2">
        <f>#REF!/#REF!</f>
        <v/>
      </c>
      <c r="BC616">
        <f>AX616</f>
        <v/>
      </c>
      <c r="BD616">
        <f>IF(IF(COUNTIF(BL$611:BL$630,BL616)&gt;1,TRUE,FALSE),"T"&amp;BL616,BL616)</f>
        <v/>
      </c>
      <c r="BE616">
        <f>IF(IF(COUNTIF(BM$611:BM$630,BM616)&gt;1,TRUE,FALSE),"T"&amp;BM616,BM616)</f>
        <v/>
      </c>
      <c r="BF616">
        <f>IF(IF(COUNTIF(BN$611:BN$630,BN616)&gt;1,TRUE,FALSE),"T"&amp;BN616,BN616)</f>
        <v/>
      </c>
      <c r="BG616">
        <f>IF(IF(COUNTIF(BO$611:BO$630,BO616)&gt;1,TRUE,FALSE),"T"&amp;BO616,BO616)</f>
        <v/>
      </c>
      <c r="BH616">
        <f>IF(IF(COUNTIF(BP$611:BP$630,BP616)&gt;1,TRUE,FALSE),"T"&amp;BP616,BP616)</f>
        <v/>
      </c>
      <c r="BL616" s="2">
        <f>RANK(AY616,AY$611:AY$630,1)</f>
        <v/>
      </c>
      <c r="BM616" s="2">
        <f>RANK(AZ616,AZ$611:AZ$630,0)</f>
        <v/>
      </c>
      <c r="BN616" s="2">
        <f>RANK(BA616,BA$611:BA$630,0)</f>
        <v/>
      </c>
      <c r="BO616" s="2">
        <f>RANK(#REF!,#REF!,0)</f>
        <v/>
      </c>
      <c r="BP616" s="2">
        <f>RANK(#REF!,#REF!,1)</f>
        <v/>
      </c>
    </row>
    <row r="617">
      <c r="AX617">
        <f>VLOOKUP(#REF!,Helpers!$B$4:$C$30,2,0)</f>
        <v/>
      </c>
      <c r="AY617" s="2">
        <f>#REF!/#REF!</f>
        <v/>
      </c>
      <c r="AZ617" s="2">
        <f>#REF!/#REF!</f>
        <v/>
      </c>
      <c r="BA617" s="2">
        <f>#REF!/#REF!</f>
        <v/>
      </c>
      <c r="BC617">
        <f>AX617</f>
        <v/>
      </c>
      <c r="BD617">
        <f>IF(IF(COUNTIF(BL$611:BL$630,BL617)&gt;1,TRUE,FALSE),"T"&amp;BL617,BL617)</f>
        <v/>
      </c>
      <c r="BE617">
        <f>IF(IF(COUNTIF(BM$611:BM$630,BM617)&gt;1,TRUE,FALSE),"T"&amp;BM617,BM617)</f>
        <v/>
      </c>
      <c r="BF617">
        <f>IF(IF(COUNTIF(BN$611:BN$630,BN617)&gt;1,TRUE,FALSE),"T"&amp;BN617,BN617)</f>
        <v/>
      </c>
      <c r="BG617">
        <f>IF(IF(COUNTIF(BO$611:BO$630,BO617)&gt;1,TRUE,FALSE),"T"&amp;BO617,BO617)</f>
        <v/>
      </c>
      <c r="BH617">
        <f>IF(IF(COUNTIF(BP$611:BP$630,BP617)&gt;1,TRUE,FALSE),"T"&amp;BP617,BP617)</f>
        <v/>
      </c>
      <c r="BL617" s="2">
        <f>RANK(AY617,AY$611:AY$630,1)</f>
        <v/>
      </c>
      <c r="BM617" s="2">
        <f>RANK(AZ617,AZ$611:AZ$630,0)</f>
        <v/>
      </c>
      <c r="BN617" s="2">
        <f>RANK(BA617,BA$611:BA$630,0)</f>
        <v/>
      </c>
      <c r="BO617" s="2">
        <f>RANK(#REF!,#REF!,0)</f>
        <v/>
      </c>
      <c r="BP617" s="2">
        <f>RANK(#REF!,#REF!,1)</f>
        <v/>
      </c>
    </row>
    <row r="618">
      <c r="AX618">
        <f>VLOOKUP(#REF!,Helpers!$B$4:$C$30,2,0)</f>
        <v/>
      </c>
      <c r="AY618" s="2">
        <f>#REF!/#REF!</f>
        <v/>
      </c>
      <c r="AZ618" s="2">
        <f>#REF!/#REF!</f>
        <v/>
      </c>
      <c r="BA618" s="2">
        <f>#REF!/#REF!</f>
        <v/>
      </c>
      <c r="BC618">
        <f>AX618</f>
        <v/>
      </c>
      <c r="BD618">
        <f>IF(IF(COUNTIF(BL$611:BL$630,BL618)&gt;1,TRUE,FALSE),"T"&amp;BL618,BL618)</f>
        <v/>
      </c>
      <c r="BE618">
        <f>IF(IF(COUNTIF(BM$611:BM$630,BM618)&gt;1,TRUE,FALSE),"T"&amp;BM618,BM618)</f>
        <v/>
      </c>
      <c r="BF618">
        <f>IF(IF(COUNTIF(BN$611:BN$630,BN618)&gt;1,TRUE,FALSE),"T"&amp;BN618,BN618)</f>
        <v/>
      </c>
      <c r="BG618">
        <f>IF(IF(COUNTIF(BO$611:BO$630,BO618)&gt;1,TRUE,FALSE),"T"&amp;BO618,BO618)</f>
        <v/>
      </c>
      <c r="BH618">
        <f>IF(IF(COUNTIF(BP$611:BP$630,BP618)&gt;1,TRUE,FALSE),"T"&amp;BP618,BP618)</f>
        <v/>
      </c>
      <c r="BL618" s="2">
        <f>RANK(AY618,AY$611:AY$630,1)</f>
        <v/>
      </c>
      <c r="BM618" s="2">
        <f>RANK(AZ618,AZ$611:AZ$630,0)</f>
        <v/>
      </c>
      <c r="BN618" s="2">
        <f>RANK(BA618,BA$611:BA$630,0)</f>
        <v/>
      </c>
      <c r="BO618" s="2">
        <f>RANK(#REF!,#REF!,0)</f>
        <v/>
      </c>
      <c r="BP618" s="2">
        <f>RANK(#REF!,#REF!,1)</f>
        <v/>
      </c>
    </row>
    <row r="619">
      <c r="AX619">
        <f>VLOOKUP(#REF!,Helpers!$B$4:$C$30,2,0)</f>
        <v/>
      </c>
      <c r="AY619" s="2">
        <f>#REF!/#REF!</f>
        <v/>
      </c>
      <c r="AZ619" s="2">
        <f>#REF!/#REF!</f>
        <v/>
      </c>
      <c r="BA619" s="2">
        <f>#REF!/#REF!</f>
        <v/>
      </c>
      <c r="BC619">
        <f>AX619</f>
        <v/>
      </c>
      <c r="BD619">
        <f>IF(IF(COUNTIF(BL$611:BL$630,BL619)&gt;1,TRUE,FALSE),"T"&amp;BL619,BL619)</f>
        <v/>
      </c>
      <c r="BE619">
        <f>IF(IF(COUNTIF(BM$611:BM$630,BM619)&gt;1,TRUE,FALSE),"T"&amp;BM619,BM619)</f>
        <v/>
      </c>
      <c r="BF619">
        <f>IF(IF(COUNTIF(BN$611:BN$630,BN619)&gt;1,TRUE,FALSE),"T"&amp;BN619,BN619)</f>
        <v/>
      </c>
      <c r="BG619">
        <f>IF(IF(COUNTIF(BO$611:BO$630,BO619)&gt;1,TRUE,FALSE),"T"&amp;BO619,BO619)</f>
        <v/>
      </c>
      <c r="BH619">
        <f>IF(IF(COUNTIF(BP$611:BP$630,BP619)&gt;1,TRUE,FALSE),"T"&amp;BP619,BP619)</f>
        <v/>
      </c>
      <c r="BL619" s="2">
        <f>RANK(AY619,AY$611:AY$630,1)</f>
        <v/>
      </c>
      <c r="BM619" s="2">
        <f>RANK(AZ619,AZ$611:AZ$630,0)</f>
        <v/>
      </c>
      <c r="BN619" s="2">
        <f>RANK(BA619,BA$611:BA$630,0)</f>
        <v/>
      </c>
      <c r="BO619" s="2">
        <f>RANK(#REF!,#REF!,0)</f>
        <v/>
      </c>
      <c r="BP619" s="2">
        <f>RANK(#REF!,#REF!,1)</f>
        <v/>
      </c>
    </row>
    <row r="620">
      <c r="AX620">
        <f>VLOOKUP(#REF!,Helpers!$B$4:$C$30,2,0)</f>
        <v/>
      </c>
      <c r="AY620" s="2">
        <f>#REF!/#REF!</f>
        <v/>
      </c>
      <c r="AZ620" s="2">
        <f>#REF!/#REF!</f>
        <v/>
      </c>
      <c r="BA620" s="2">
        <f>#REF!/#REF!</f>
        <v/>
      </c>
      <c r="BC620">
        <f>AX620</f>
        <v/>
      </c>
      <c r="BD620">
        <f>IF(IF(COUNTIF(BL$611:BL$630,BL620)&gt;1,TRUE,FALSE),"T"&amp;BL620,BL620)</f>
        <v/>
      </c>
      <c r="BE620">
        <f>IF(IF(COUNTIF(BM$611:BM$630,BM620)&gt;1,TRUE,FALSE),"T"&amp;BM620,BM620)</f>
        <v/>
      </c>
      <c r="BF620">
        <f>IF(IF(COUNTIF(BN$611:BN$630,BN620)&gt;1,TRUE,FALSE),"T"&amp;BN620,BN620)</f>
        <v/>
      </c>
      <c r="BG620">
        <f>IF(IF(COUNTIF(BO$611:BO$630,BO620)&gt;1,TRUE,FALSE),"T"&amp;BO620,BO620)</f>
        <v/>
      </c>
      <c r="BH620">
        <f>IF(IF(COUNTIF(BP$611:BP$630,BP620)&gt;1,TRUE,FALSE),"T"&amp;BP620,BP620)</f>
        <v/>
      </c>
      <c r="BL620" s="2">
        <f>RANK(AY620,AY$611:AY$630,1)</f>
        <v/>
      </c>
      <c r="BM620" s="2">
        <f>RANK(AZ620,AZ$611:AZ$630,0)</f>
        <v/>
      </c>
      <c r="BN620" s="2">
        <f>RANK(BA620,BA$611:BA$630,0)</f>
        <v/>
      </c>
      <c r="BO620" s="2">
        <f>RANK(#REF!,#REF!,0)</f>
        <v/>
      </c>
      <c r="BP620" s="2">
        <f>RANK(#REF!,#REF!,1)</f>
        <v/>
      </c>
    </row>
    <row r="621">
      <c r="AX621">
        <f>VLOOKUP(#REF!,Helpers!$B$4:$C$30,2,0)</f>
        <v/>
      </c>
      <c r="AY621" s="2">
        <f>#REF!/#REF!</f>
        <v/>
      </c>
      <c r="AZ621" s="2">
        <f>#REF!/#REF!</f>
        <v/>
      </c>
      <c r="BA621" s="2">
        <f>#REF!/#REF!</f>
        <v/>
      </c>
      <c r="BC621">
        <f>AX621</f>
        <v/>
      </c>
      <c r="BD621">
        <f>IF(IF(COUNTIF(BL$611:BL$630,BL621)&gt;1,TRUE,FALSE),"T"&amp;BL621,BL621)</f>
        <v/>
      </c>
      <c r="BE621">
        <f>IF(IF(COUNTIF(BM$611:BM$630,BM621)&gt;1,TRUE,FALSE),"T"&amp;BM621,BM621)</f>
        <v/>
      </c>
      <c r="BF621">
        <f>IF(IF(COUNTIF(BN$611:BN$630,BN621)&gt;1,TRUE,FALSE),"T"&amp;BN621,BN621)</f>
        <v/>
      </c>
      <c r="BG621">
        <f>IF(IF(COUNTIF(BO$611:BO$630,BO621)&gt;1,TRUE,FALSE),"T"&amp;BO621,BO621)</f>
        <v/>
      </c>
      <c r="BH621">
        <f>IF(IF(COUNTIF(BP$611:BP$630,BP621)&gt;1,TRUE,FALSE),"T"&amp;BP621,BP621)</f>
        <v/>
      </c>
      <c r="BL621" s="2">
        <f>RANK(AY621,AY$611:AY$630,1)</f>
        <v/>
      </c>
      <c r="BM621" s="2">
        <f>RANK(AZ621,AZ$611:AZ$630,0)</f>
        <v/>
      </c>
      <c r="BN621" s="2">
        <f>RANK(BA621,BA$611:BA$630,0)</f>
        <v/>
      </c>
      <c r="BO621" s="2">
        <f>RANK(#REF!,#REF!,0)</f>
        <v/>
      </c>
      <c r="BP621" s="2">
        <f>RANK(#REF!,#REF!,1)</f>
        <v/>
      </c>
    </row>
    <row r="622">
      <c r="AX622">
        <f>VLOOKUP(#REF!,Helpers!$B$4:$C$30,2,0)</f>
        <v/>
      </c>
      <c r="AY622" s="2">
        <f>#REF!/#REF!</f>
        <v/>
      </c>
      <c r="AZ622" s="2">
        <f>#REF!/#REF!</f>
        <v/>
      </c>
      <c r="BA622" s="2">
        <f>#REF!/#REF!</f>
        <v/>
      </c>
      <c r="BC622">
        <f>AX622</f>
        <v/>
      </c>
      <c r="BD622">
        <f>IF(IF(COUNTIF(BL$611:BL$630,BL622)&gt;1,TRUE,FALSE),"T"&amp;BL622,BL622)</f>
        <v/>
      </c>
      <c r="BE622">
        <f>IF(IF(COUNTIF(BM$611:BM$630,BM622)&gt;1,TRUE,FALSE),"T"&amp;BM622,BM622)</f>
        <v/>
      </c>
      <c r="BF622">
        <f>IF(IF(COUNTIF(BN$611:BN$630,BN622)&gt;1,TRUE,FALSE),"T"&amp;BN622,BN622)</f>
        <v/>
      </c>
      <c r="BG622">
        <f>IF(IF(COUNTIF(BO$611:BO$630,BO622)&gt;1,TRUE,FALSE),"T"&amp;BO622,BO622)</f>
        <v/>
      </c>
      <c r="BH622">
        <f>IF(IF(COUNTIF(BP$611:BP$630,BP622)&gt;1,TRUE,FALSE),"T"&amp;BP622,BP622)</f>
        <v/>
      </c>
      <c r="BL622" s="2">
        <f>RANK(AY622,AY$611:AY$630,1)</f>
        <v/>
      </c>
      <c r="BM622" s="2">
        <f>RANK(AZ622,AZ$611:AZ$630,0)</f>
        <v/>
      </c>
      <c r="BN622" s="2">
        <f>RANK(BA622,BA$611:BA$630,0)</f>
        <v/>
      </c>
      <c r="BO622" s="2">
        <f>RANK(#REF!,#REF!,0)</f>
        <v/>
      </c>
      <c r="BP622" s="2">
        <f>RANK(#REF!,#REF!,1)</f>
        <v/>
      </c>
    </row>
    <row r="623">
      <c r="AX623">
        <f>VLOOKUP(#REF!,Helpers!$B$4:$C$30,2,0)</f>
        <v/>
      </c>
      <c r="AY623" s="2">
        <f>#REF!/#REF!</f>
        <v/>
      </c>
      <c r="AZ623" s="2">
        <f>#REF!/#REF!</f>
        <v/>
      </c>
      <c r="BA623" s="2">
        <f>#REF!/#REF!</f>
        <v/>
      </c>
      <c r="BC623">
        <f>AX623</f>
        <v/>
      </c>
      <c r="BD623">
        <f>IF(IF(COUNTIF(BL$611:BL$630,BL623)&gt;1,TRUE,FALSE),"T"&amp;BL623,BL623)</f>
        <v/>
      </c>
      <c r="BE623">
        <f>IF(IF(COUNTIF(BM$611:BM$630,BM623)&gt;1,TRUE,FALSE),"T"&amp;BM623,BM623)</f>
        <v/>
      </c>
      <c r="BF623">
        <f>IF(IF(COUNTIF(BN$611:BN$630,BN623)&gt;1,TRUE,FALSE),"T"&amp;BN623,BN623)</f>
        <v/>
      </c>
      <c r="BG623">
        <f>IF(IF(COUNTIF(BO$611:BO$630,BO623)&gt;1,TRUE,FALSE),"T"&amp;BO623,BO623)</f>
        <v/>
      </c>
      <c r="BH623">
        <f>IF(IF(COUNTIF(BP$611:BP$630,BP623)&gt;1,TRUE,FALSE),"T"&amp;BP623,BP623)</f>
        <v/>
      </c>
      <c r="BL623" s="2">
        <f>RANK(AY623,AY$611:AY$630,1)</f>
        <v/>
      </c>
      <c r="BM623" s="2">
        <f>RANK(AZ623,AZ$611:AZ$630,0)</f>
        <v/>
      </c>
      <c r="BN623" s="2">
        <f>RANK(BA623,BA$611:BA$630,0)</f>
        <v/>
      </c>
      <c r="BO623" s="2">
        <f>RANK(#REF!,#REF!,0)</f>
        <v/>
      </c>
      <c r="BP623" s="2">
        <f>RANK(#REF!,#REF!,1)</f>
        <v/>
      </c>
    </row>
    <row r="624">
      <c r="AX624">
        <f>VLOOKUP(#REF!,Helpers!$B$4:$C$30,2,0)</f>
        <v/>
      </c>
      <c r="AY624" s="2">
        <f>#REF!/#REF!</f>
        <v/>
      </c>
      <c r="AZ624" s="2">
        <f>#REF!/#REF!</f>
        <v/>
      </c>
      <c r="BA624" s="2">
        <f>#REF!/#REF!</f>
        <v/>
      </c>
      <c r="BC624">
        <f>AX624</f>
        <v/>
      </c>
      <c r="BD624">
        <f>IF(IF(COUNTIF(BL$611:BL$630,BL624)&gt;1,TRUE,FALSE),"T"&amp;BL624,BL624)</f>
        <v/>
      </c>
      <c r="BE624">
        <f>IF(IF(COUNTIF(BM$611:BM$630,BM624)&gt;1,TRUE,FALSE),"T"&amp;BM624,BM624)</f>
        <v/>
      </c>
      <c r="BF624">
        <f>IF(IF(COUNTIF(BN$611:BN$630,BN624)&gt;1,TRUE,FALSE),"T"&amp;BN624,BN624)</f>
        <v/>
      </c>
      <c r="BG624">
        <f>IF(IF(COUNTIF(BO$611:BO$630,BO624)&gt;1,TRUE,FALSE),"T"&amp;BO624,BO624)</f>
        <v/>
      </c>
      <c r="BH624">
        <f>IF(IF(COUNTIF(BP$611:BP$630,BP624)&gt;1,TRUE,FALSE),"T"&amp;BP624,BP624)</f>
        <v/>
      </c>
      <c r="BL624" s="2">
        <f>RANK(AY624,AY$611:AY$630,1)</f>
        <v/>
      </c>
      <c r="BM624" s="2">
        <f>RANK(AZ624,AZ$611:AZ$630,0)</f>
        <v/>
      </c>
      <c r="BN624" s="2">
        <f>RANK(BA624,BA$611:BA$630,0)</f>
        <v/>
      </c>
      <c r="BO624" s="2">
        <f>RANK(#REF!,#REF!,0)</f>
        <v/>
      </c>
      <c r="BP624" s="2">
        <f>RANK(#REF!,#REF!,1)</f>
        <v/>
      </c>
    </row>
    <row r="625">
      <c r="AX625">
        <f>VLOOKUP(#REF!,Helpers!$B$4:$C$30,2,0)</f>
        <v/>
      </c>
      <c r="AY625" s="2">
        <f>#REF!/#REF!</f>
        <v/>
      </c>
      <c r="AZ625" s="2">
        <f>#REF!/#REF!</f>
        <v/>
      </c>
      <c r="BA625" s="2">
        <f>#REF!/#REF!</f>
        <v/>
      </c>
      <c r="BC625">
        <f>AX625</f>
        <v/>
      </c>
      <c r="BD625">
        <f>IF(IF(COUNTIF(BL$611:BL$630,BL625)&gt;1,TRUE,FALSE),"T"&amp;BL625,BL625)</f>
        <v/>
      </c>
      <c r="BE625">
        <f>IF(IF(COUNTIF(BM$611:BM$630,BM625)&gt;1,TRUE,FALSE),"T"&amp;BM625,BM625)</f>
        <v/>
      </c>
      <c r="BF625">
        <f>IF(IF(COUNTIF(BN$611:BN$630,BN625)&gt;1,TRUE,FALSE),"T"&amp;BN625,BN625)</f>
        <v/>
      </c>
      <c r="BG625">
        <f>IF(IF(COUNTIF(BO$611:BO$630,BO625)&gt;1,TRUE,FALSE),"T"&amp;BO625,BO625)</f>
        <v/>
      </c>
      <c r="BH625">
        <f>IF(IF(COUNTIF(BP$611:BP$630,BP625)&gt;1,TRUE,FALSE),"T"&amp;BP625,BP625)</f>
        <v/>
      </c>
      <c r="BL625" s="2">
        <f>RANK(AY625,AY$611:AY$630,1)</f>
        <v/>
      </c>
      <c r="BM625" s="2">
        <f>RANK(AZ625,AZ$611:AZ$630,0)</f>
        <v/>
      </c>
      <c r="BN625" s="2">
        <f>RANK(BA625,BA$611:BA$630,0)</f>
        <v/>
      </c>
      <c r="BO625" s="2">
        <f>RANK(#REF!,#REF!,0)</f>
        <v/>
      </c>
      <c r="BP625" s="2">
        <f>RANK(#REF!,#REF!,1)</f>
        <v/>
      </c>
    </row>
    <row r="626">
      <c r="AX626">
        <f>VLOOKUP(#REF!,Helpers!$B$4:$C$30,2,0)</f>
        <v/>
      </c>
      <c r="AY626" s="2">
        <f>#REF!/#REF!</f>
        <v/>
      </c>
      <c r="AZ626" s="2">
        <f>#REF!/#REF!</f>
        <v/>
      </c>
      <c r="BA626" s="2">
        <f>#REF!/#REF!</f>
        <v/>
      </c>
      <c r="BC626">
        <f>AX626</f>
        <v/>
      </c>
      <c r="BD626">
        <f>IF(IF(COUNTIF(BL$611:BL$630,BL626)&gt;1,TRUE,FALSE),"T"&amp;BL626,BL626)</f>
        <v/>
      </c>
      <c r="BE626">
        <f>IF(IF(COUNTIF(BM$611:BM$630,BM626)&gt;1,TRUE,FALSE),"T"&amp;BM626,BM626)</f>
        <v/>
      </c>
      <c r="BF626">
        <f>IF(IF(COUNTIF(BN$611:BN$630,BN626)&gt;1,TRUE,FALSE),"T"&amp;BN626,BN626)</f>
        <v/>
      </c>
      <c r="BG626">
        <f>IF(IF(COUNTIF(BO$611:BO$630,BO626)&gt;1,TRUE,FALSE),"T"&amp;BO626,BO626)</f>
        <v/>
      </c>
      <c r="BH626">
        <f>IF(IF(COUNTIF(BP$611:BP$630,BP626)&gt;1,TRUE,FALSE),"T"&amp;BP626,BP626)</f>
        <v/>
      </c>
      <c r="BL626" s="2">
        <f>RANK(AY626,AY$611:AY$630,1)</f>
        <v/>
      </c>
      <c r="BM626" s="2">
        <f>RANK(AZ626,AZ$611:AZ$630,0)</f>
        <v/>
      </c>
      <c r="BN626" s="2">
        <f>RANK(BA626,BA$611:BA$630,0)</f>
        <v/>
      </c>
      <c r="BO626" s="2">
        <f>RANK(#REF!,#REF!,0)</f>
        <v/>
      </c>
      <c r="BP626" s="2">
        <f>RANK(#REF!,#REF!,1)</f>
        <v/>
      </c>
    </row>
    <row r="627">
      <c r="AX627">
        <f>VLOOKUP(#REF!,Helpers!$B$4:$C$30,2,0)</f>
        <v/>
      </c>
      <c r="AY627" s="2">
        <f>#REF!/#REF!</f>
        <v/>
      </c>
      <c r="AZ627" s="2">
        <f>#REF!/#REF!</f>
        <v/>
      </c>
      <c r="BA627" s="2">
        <f>#REF!/#REF!</f>
        <v/>
      </c>
      <c r="BC627">
        <f>AX627</f>
        <v/>
      </c>
      <c r="BD627">
        <f>IF(IF(COUNTIF(BL$611:BL$630,BL627)&gt;1,TRUE,FALSE),"T"&amp;BL627,BL627)</f>
        <v/>
      </c>
      <c r="BE627">
        <f>IF(IF(COUNTIF(BM$611:BM$630,BM627)&gt;1,TRUE,FALSE),"T"&amp;BM627,BM627)</f>
        <v/>
      </c>
      <c r="BF627">
        <f>IF(IF(COUNTIF(BN$611:BN$630,BN627)&gt;1,TRUE,FALSE),"T"&amp;BN627,BN627)</f>
        <v/>
      </c>
      <c r="BG627">
        <f>IF(IF(COUNTIF(BO$611:BO$630,BO627)&gt;1,TRUE,FALSE),"T"&amp;BO627,BO627)</f>
        <v/>
      </c>
      <c r="BH627">
        <f>IF(IF(COUNTIF(BP$611:BP$630,BP627)&gt;1,TRUE,FALSE),"T"&amp;BP627,BP627)</f>
        <v/>
      </c>
      <c r="BL627" s="2">
        <f>RANK(AY627,AY$611:AY$630,1)</f>
        <v/>
      </c>
      <c r="BM627" s="2">
        <f>RANK(AZ627,AZ$611:AZ$630,0)</f>
        <v/>
      </c>
      <c r="BN627" s="2">
        <f>RANK(BA627,BA$611:BA$630,0)</f>
        <v/>
      </c>
      <c r="BO627" s="2">
        <f>RANK(#REF!,#REF!,0)</f>
        <v/>
      </c>
      <c r="BP627" s="2">
        <f>RANK(#REF!,#REF!,1)</f>
        <v/>
      </c>
    </row>
    <row r="628">
      <c r="AX628">
        <f>VLOOKUP(#REF!,Helpers!$B$4:$C$30,2,0)</f>
        <v/>
      </c>
      <c r="AY628" s="2">
        <f>#REF!/#REF!</f>
        <v/>
      </c>
      <c r="AZ628" s="2">
        <f>#REF!/#REF!</f>
        <v/>
      </c>
      <c r="BA628" s="2">
        <f>#REF!/#REF!</f>
        <v/>
      </c>
      <c r="BC628">
        <f>AX628</f>
        <v/>
      </c>
      <c r="BD628">
        <f>IF(IF(COUNTIF(BL$611:BL$630,BL628)&gt;1,TRUE,FALSE),"T"&amp;BL628,BL628)</f>
        <v/>
      </c>
      <c r="BE628">
        <f>IF(IF(COUNTIF(BM$611:BM$630,BM628)&gt;1,TRUE,FALSE),"T"&amp;BM628,BM628)</f>
        <v/>
      </c>
      <c r="BF628">
        <f>IF(IF(COUNTIF(BN$611:BN$630,BN628)&gt;1,TRUE,FALSE),"T"&amp;BN628,BN628)</f>
        <v/>
      </c>
      <c r="BG628">
        <f>IF(IF(COUNTIF(BO$611:BO$630,BO628)&gt;1,TRUE,FALSE),"T"&amp;BO628,BO628)</f>
        <v/>
      </c>
      <c r="BH628">
        <f>IF(IF(COUNTIF(BP$611:BP$630,BP628)&gt;1,TRUE,FALSE),"T"&amp;BP628,BP628)</f>
        <v/>
      </c>
      <c r="BL628" s="2">
        <f>RANK(AY628,AY$611:AY$630,1)</f>
        <v/>
      </c>
      <c r="BM628" s="2">
        <f>RANK(AZ628,AZ$611:AZ$630,0)</f>
        <v/>
      </c>
      <c r="BN628" s="2">
        <f>RANK(BA628,BA$611:BA$630,0)</f>
        <v/>
      </c>
      <c r="BO628" s="2">
        <f>RANK(#REF!,#REF!,0)</f>
        <v/>
      </c>
      <c r="BP628" s="2">
        <f>RANK(#REF!,#REF!,1)</f>
        <v/>
      </c>
    </row>
    <row r="629">
      <c r="AX629">
        <f>VLOOKUP(#REF!,Helpers!$B$4:$C$30,2,0)</f>
        <v/>
      </c>
      <c r="AY629" s="2">
        <f>#REF!/#REF!</f>
        <v/>
      </c>
      <c r="AZ629" s="2">
        <f>#REF!/#REF!</f>
        <v/>
      </c>
      <c r="BA629" s="2">
        <f>#REF!/#REF!</f>
        <v/>
      </c>
      <c r="BC629">
        <f>AX629</f>
        <v/>
      </c>
      <c r="BD629">
        <f>IF(IF(COUNTIF(BL$611:BL$630,BL629)&gt;1,TRUE,FALSE),"T"&amp;BL629,BL629)</f>
        <v/>
      </c>
      <c r="BE629">
        <f>IF(IF(COUNTIF(BM$611:BM$630,BM629)&gt;1,TRUE,FALSE),"T"&amp;BM629,BM629)</f>
        <v/>
      </c>
      <c r="BF629">
        <f>IF(IF(COUNTIF(BN$611:BN$630,BN629)&gt;1,TRUE,FALSE),"T"&amp;BN629,BN629)</f>
        <v/>
      </c>
      <c r="BG629">
        <f>IF(IF(COUNTIF(BO$611:BO$630,BO629)&gt;1,TRUE,FALSE),"T"&amp;BO629,BO629)</f>
        <v/>
      </c>
      <c r="BH629">
        <f>IF(IF(COUNTIF(BP$611:BP$630,BP629)&gt;1,TRUE,FALSE),"T"&amp;BP629,BP629)</f>
        <v/>
      </c>
      <c r="BL629" s="2">
        <f>RANK(AY629,AY$611:AY$630,1)</f>
        <v/>
      </c>
      <c r="BM629" s="2">
        <f>RANK(AZ629,AZ$611:AZ$630,0)</f>
        <v/>
      </c>
      <c r="BN629" s="2">
        <f>RANK(BA629,BA$611:BA$630,0)</f>
        <v/>
      </c>
      <c r="BO629" s="2">
        <f>RANK(#REF!,#REF!,0)</f>
        <v/>
      </c>
      <c r="BP629" s="2">
        <f>RANK(#REF!,#REF!,1)</f>
        <v/>
      </c>
    </row>
    <row r="630">
      <c r="AX630">
        <f>VLOOKUP(#REF!,Helpers!$B$4:$C$30,2,0)</f>
        <v/>
      </c>
      <c r="AY630" s="2">
        <f>#REF!/#REF!</f>
        <v/>
      </c>
      <c r="AZ630" s="2">
        <f>#REF!/#REF!</f>
        <v/>
      </c>
      <c r="BA630" s="2">
        <f>#REF!/#REF!</f>
        <v/>
      </c>
      <c r="BC630">
        <f>AX630</f>
        <v/>
      </c>
      <c r="BD630">
        <f>IF(IF(COUNTIF(BL$611:BL$630,BL630)&gt;1,TRUE,FALSE),"T"&amp;BL630,BL630)</f>
        <v/>
      </c>
      <c r="BE630">
        <f>IF(IF(COUNTIF(BM$611:BM$630,BM630)&gt;1,TRUE,FALSE),"T"&amp;BM630,BM630)</f>
        <v/>
      </c>
      <c r="BF630">
        <f>IF(IF(COUNTIF(BN$611:BN$630,BN630)&gt;1,TRUE,FALSE),"T"&amp;BN630,BN630)</f>
        <v/>
      </c>
      <c r="BG630">
        <f>IF(IF(COUNTIF(BO$611:BO$630,BO630)&gt;1,TRUE,FALSE),"T"&amp;BO630,BO630)</f>
        <v/>
      </c>
      <c r="BH630">
        <f>IF(IF(COUNTIF(BP$611:BP$630,BP630)&gt;1,TRUE,FALSE),"T"&amp;BP630,BP630)</f>
        <v/>
      </c>
      <c r="BL630" s="2">
        <f>RANK(AY630,AY$611:AY$630,1)</f>
        <v/>
      </c>
      <c r="BM630" s="2">
        <f>RANK(AZ630,AZ$611:AZ$630,0)</f>
        <v/>
      </c>
      <c r="BN630" s="2">
        <f>RANK(BA630,BA$611:BA$630,0)</f>
        <v/>
      </c>
      <c r="BO630" s="2">
        <f>RANK(#REF!,#REF!,0)</f>
        <v/>
      </c>
      <c r="BP630" s="2">
        <f>RANK(#REF!,#REF!,1)</f>
        <v/>
      </c>
    </row>
    <row r="633" ht="15.95" customHeight="1" s="43"/>
  </sheetData>
  <mergeCells count="141">
    <mergeCell ref="A193:C193"/>
    <mergeCell ref="W169:Y169"/>
    <mergeCell ref="O265:Q265"/>
    <mergeCell ref="E457:K457"/>
    <mergeCell ref="I49:P49"/>
    <mergeCell ref="A48:AF48"/>
    <mergeCell ref="I169:L169"/>
    <mergeCell ref="T481:W481"/>
    <mergeCell ref="W73:AF73"/>
    <mergeCell ref="A336:S336"/>
    <mergeCell ref="O505:S505"/>
    <mergeCell ref="D529:P529"/>
    <mergeCell ref="A289:D289"/>
    <mergeCell ref="Q97:U97"/>
    <mergeCell ref="M145:O145"/>
    <mergeCell ref="W145:Y145"/>
    <mergeCell ref="O241:Q241"/>
    <mergeCell ref="A73:D73"/>
    <mergeCell ref="M313:O313"/>
    <mergeCell ref="I145:L145"/>
    <mergeCell ref="I481:K481"/>
    <mergeCell ref="T505:W505"/>
    <mergeCell ref="A264:Z264"/>
    <mergeCell ref="A481:C481"/>
    <mergeCell ref="E73:H73"/>
    <mergeCell ref="A1:S1"/>
    <mergeCell ref="P385:S385"/>
    <mergeCell ref="Q73:T73"/>
    <mergeCell ref="C121:F121"/>
    <mergeCell ref="T241:U241"/>
    <mergeCell ref="A168:AB168"/>
    <mergeCell ref="P409:S409"/>
    <mergeCell ref="Q553:S553"/>
    <mergeCell ref="D265:H265"/>
    <mergeCell ref="E49:H49"/>
    <mergeCell ref="A432:Z432"/>
    <mergeCell ref="Q49:T49"/>
    <mergeCell ref="L481:N481"/>
    <mergeCell ref="A433:D433"/>
    <mergeCell ref="A480:W480"/>
    <mergeCell ref="E313:L313"/>
    <mergeCell ref="A409:C409"/>
    <mergeCell ref="V265:Z265"/>
    <mergeCell ref="M409:O409"/>
    <mergeCell ref="A120:U120"/>
    <mergeCell ref="I385:L385"/>
    <mergeCell ref="P217:T217"/>
    <mergeCell ref="I505:K505"/>
    <mergeCell ref="W49:AF49"/>
    <mergeCell ref="P289:R289"/>
    <mergeCell ref="A265:C265"/>
    <mergeCell ref="D337:E337"/>
    <mergeCell ref="A24:AB24"/>
    <mergeCell ref="Q457:X457"/>
    <mergeCell ref="P25:AB25"/>
    <mergeCell ref="A96:U96"/>
    <mergeCell ref="A552:S552"/>
    <mergeCell ref="L361:M361"/>
    <mergeCell ref="A408:S408"/>
    <mergeCell ref="A360:S360"/>
    <mergeCell ref="L457:P457"/>
    <mergeCell ref="U73:V73"/>
    <mergeCell ref="A528:S528"/>
    <mergeCell ref="Z169:AB169"/>
    <mergeCell ref="A241:C241"/>
    <mergeCell ref="R265:S265"/>
    <mergeCell ref="N361:S361"/>
    <mergeCell ref="Q433:X433"/>
    <mergeCell ref="D481:H481"/>
    <mergeCell ref="A313:D313"/>
    <mergeCell ref="A384:S384"/>
    <mergeCell ref="Q529:S529"/>
    <mergeCell ref="O481:S481"/>
    <mergeCell ref="T265:U265"/>
    <mergeCell ref="U49:V49"/>
    <mergeCell ref="A385:C385"/>
    <mergeCell ref="Y457:Z457"/>
    <mergeCell ref="A144:AB144"/>
    <mergeCell ref="R241:S241"/>
    <mergeCell ref="P193:T193"/>
    <mergeCell ref="N337:S337"/>
    <mergeCell ref="M385:O385"/>
    <mergeCell ref="A553:C553"/>
    <mergeCell ref="D409:H409"/>
    <mergeCell ref="A216:T216"/>
    <mergeCell ref="Q121:U121"/>
    <mergeCell ref="D193:O193"/>
    <mergeCell ref="A312:R312"/>
    <mergeCell ref="A49:D49"/>
    <mergeCell ref="D145:H145"/>
    <mergeCell ref="D505:H505"/>
    <mergeCell ref="I265:K265"/>
    <mergeCell ref="Y433:Z433"/>
    <mergeCell ref="I409:L409"/>
    <mergeCell ref="A457:D457"/>
    <mergeCell ref="C97:F97"/>
    <mergeCell ref="G97:P97"/>
    <mergeCell ref="A192:T192"/>
    <mergeCell ref="A456:Z456"/>
    <mergeCell ref="V241:Z241"/>
    <mergeCell ref="A169:C169"/>
    <mergeCell ref="A240:Z240"/>
    <mergeCell ref="G121:P121"/>
    <mergeCell ref="D241:H241"/>
    <mergeCell ref="A72:AF72"/>
    <mergeCell ref="D361:E361"/>
    <mergeCell ref="E289:L289"/>
    <mergeCell ref="A217:C217"/>
    <mergeCell ref="L337:M337"/>
    <mergeCell ref="A145:C145"/>
    <mergeCell ref="L505:N505"/>
    <mergeCell ref="F361:K361"/>
    <mergeCell ref="D385:H385"/>
    <mergeCell ref="T169:V169"/>
    <mergeCell ref="L265:N265"/>
    <mergeCell ref="A25:B25"/>
    <mergeCell ref="A361:C361"/>
    <mergeCell ref="I241:K241"/>
    <mergeCell ref="A529:C529"/>
    <mergeCell ref="P169:S169"/>
    <mergeCell ref="F337:K337"/>
    <mergeCell ref="M289:O289"/>
    <mergeCell ref="P313:R313"/>
    <mergeCell ref="T145:V145"/>
    <mergeCell ref="L241:N241"/>
    <mergeCell ref="A288:R288"/>
    <mergeCell ref="E433:K433"/>
    <mergeCell ref="A337:C337"/>
    <mergeCell ref="C25:O25"/>
    <mergeCell ref="L433:P433"/>
    <mergeCell ref="A97:B97"/>
    <mergeCell ref="I73:P73"/>
    <mergeCell ref="P145:S145"/>
    <mergeCell ref="A505:C505"/>
    <mergeCell ref="Z145:AB145"/>
    <mergeCell ref="A121:B121"/>
    <mergeCell ref="D217:O217"/>
    <mergeCell ref="A504:W504"/>
    <mergeCell ref="D553:P553"/>
    <mergeCell ref="D169:H169"/>
    <mergeCell ref="M169:O169"/>
  </mergeCells>
  <hyperlinks>
    <hyperlink xmlns:r="http://schemas.openxmlformats.org/officeDocument/2006/relationships" ref="B3" display="https://fbref.com/en/squads/822bd0ba/Liverpool-Stats" r:id="rId1"/>
    <hyperlink xmlns:r="http://schemas.openxmlformats.org/officeDocument/2006/relationships" ref="Q3" display="https://fbref.com/en/players/e342ad68/Mohamed-Salah" r:id="rId2"/>
    <hyperlink xmlns:r="http://schemas.openxmlformats.org/officeDocument/2006/relationships" ref="R3" display="https://fbref.com/en/players/7a2e46a8/Alisson" r:id="rId3"/>
    <hyperlink xmlns:r="http://schemas.openxmlformats.org/officeDocument/2006/relationships" ref="B4" display="https://fbref.com/en/squads/18bb7c10/Arsenal-Stats" r:id="rId4"/>
    <hyperlink xmlns:r="http://schemas.openxmlformats.org/officeDocument/2006/relationships" ref="Q4" display="https://fbref.com/en/players/fed7cb61/Kai-Havertz" r:id="rId5"/>
    <hyperlink xmlns:r="http://schemas.openxmlformats.org/officeDocument/2006/relationships" ref="R4" display="https://fbref.com/en/players/98ea5115/David-Raya" r:id="rId6"/>
    <hyperlink xmlns:r="http://schemas.openxmlformats.org/officeDocument/2006/relationships" ref="B5" display="https://fbref.com/en/squads/b8fd03ef/2024-2025/Manchester-City-Stats" r:id="rId7"/>
    <hyperlink xmlns:r="http://schemas.openxmlformats.org/officeDocument/2006/relationships" ref="Q5" display="https://fbref.com/en/players/1f44ac21/Erling-Haaland" r:id="rId8"/>
    <hyperlink xmlns:r="http://schemas.openxmlformats.org/officeDocument/2006/relationships" ref="R5" display="https://fbref.com/en/players/3bb7b8b4/Ederson" r:id="rId9"/>
    <hyperlink xmlns:r="http://schemas.openxmlformats.org/officeDocument/2006/relationships" ref="B6" display="https://fbref.com/en/squads/cff3d9bb/2024-2025/Chelsea-Stats" r:id="rId10"/>
    <hyperlink xmlns:r="http://schemas.openxmlformats.org/officeDocument/2006/relationships" ref="Q6" display="https://fbref.com/en/players/dc7f8a28/Cole-Palmer" r:id="rId11"/>
    <hyperlink xmlns:r="http://schemas.openxmlformats.org/officeDocument/2006/relationships" ref="R6" display="https://fbref.com/en/players/6a713852/Robert-Sanchez" r:id="rId12"/>
    <hyperlink xmlns:r="http://schemas.openxmlformats.org/officeDocument/2006/relationships" ref="B7" display="https://fbref.com/en/squads/b2b47a98/Newcastle-United-Stats" r:id="rId13"/>
    <hyperlink xmlns:r="http://schemas.openxmlformats.org/officeDocument/2006/relationships" ref="Q7" display="https://fbref.com/en/players/8e92be30/Alexander-Isak" r:id="rId14"/>
    <hyperlink xmlns:r="http://schemas.openxmlformats.org/officeDocument/2006/relationships" ref="R7" display="https://fbref.com/en/players/4b40d9ca/Nick-Pope" r:id="rId15"/>
    <hyperlink xmlns:r="http://schemas.openxmlformats.org/officeDocument/2006/relationships" ref="B8" display="https://fbref.com/en/squads/8602292d/Aston-Villa-Stats" r:id="rId16"/>
    <hyperlink xmlns:r="http://schemas.openxmlformats.org/officeDocument/2006/relationships" ref="Q8" display="https://fbref.com/en/players/aed3a70f/Ollie-Watkins" r:id="rId17"/>
    <hyperlink xmlns:r="http://schemas.openxmlformats.org/officeDocument/2006/relationships" ref="R8" display="https://fbref.com/en/players/7956236f/Emiliano-Martinez" r:id="rId18"/>
    <hyperlink xmlns:r="http://schemas.openxmlformats.org/officeDocument/2006/relationships" ref="B9" display="https://fbref.com/en/squads/e4a775cb/Nottingham-Forest-Stats" r:id="rId19"/>
    <hyperlink xmlns:r="http://schemas.openxmlformats.org/officeDocument/2006/relationships" ref="Q9" display="https://fbref.com/en/players/4e9a0555/Chris-Wood" r:id="rId20"/>
    <hyperlink xmlns:r="http://schemas.openxmlformats.org/officeDocument/2006/relationships" ref="R9" display="https://fbref.com/en/players/834b5c4c/Matz-Sels" r:id="rId21"/>
    <hyperlink xmlns:r="http://schemas.openxmlformats.org/officeDocument/2006/relationships" ref="B10" display="https://fbref.com/en/squads/d07537b9/Brighton-and-Hove-Albion-Stats" r:id="rId22"/>
    <hyperlink xmlns:r="http://schemas.openxmlformats.org/officeDocument/2006/relationships" ref="R10" display="https://fbref.com/en/players/cf134113/Bart-Verbruggen" r:id="rId23"/>
    <hyperlink xmlns:r="http://schemas.openxmlformats.org/officeDocument/2006/relationships" ref="B11" display="https://fbref.com/en/squads/4ba7cbea/Bournemouth-Stats" r:id="rId24"/>
    <hyperlink xmlns:r="http://schemas.openxmlformats.org/officeDocument/2006/relationships" ref="Q11" display="https://fbref.com/en/players/4c3a6744/Justin-Kluivert" r:id="rId25"/>
    <hyperlink xmlns:r="http://schemas.openxmlformats.org/officeDocument/2006/relationships" ref="R11" display="https://fbref.com/en/players/28d596a0/Kepa-Arrizabalaga" r:id="rId26"/>
    <hyperlink xmlns:r="http://schemas.openxmlformats.org/officeDocument/2006/relationships" ref="B12" display="https://fbref.com/en/squads/cd051869/Brentford-Stats" r:id="rId27"/>
    <hyperlink xmlns:r="http://schemas.openxmlformats.org/officeDocument/2006/relationships" ref="Q12" display="https://fbref.com/en/players/6afaebf2/Bryan-Mbeumo" r:id="rId28"/>
    <hyperlink xmlns:r="http://schemas.openxmlformats.org/officeDocument/2006/relationships" ref="R12" display="https://fbref.com/en/players/a92ab7be/Mark-Flekken" r:id="rId29"/>
    <hyperlink xmlns:r="http://schemas.openxmlformats.org/officeDocument/2006/relationships" ref="B13" display="https://fbref.com/en/squads/fd962109/Fulham-Stats" r:id="rId30"/>
    <hyperlink xmlns:r="http://schemas.openxmlformats.org/officeDocument/2006/relationships" ref="Q13" display="https://fbref.com/en/players/b561db50/Raul-Jimenez" r:id="rId31"/>
    <hyperlink xmlns:r="http://schemas.openxmlformats.org/officeDocument/2006/relationships" ref="R13" display="https://fbref.com/en/players/2628fd2b/Bernd-Leno" r:id="rId32"/>
    <hyperlink xmlns:r="http://schemas.openxmlformats.org/officeDocument/2006/relationships" ref="B14" display="https://fbref.com/en/squads/47c64c55/Crystal-Palace-Stats" r:id="rId33"/>
    <hyperlink xmlns:r="http://schemas.openxmlformats.org/officeDocument/2006/relationships" ref="Q14" display="https://fbref.com/en/players/50e6dc35/Jean-Philippe-Mateta" r:id="rId34"/>
    <hyperlink xmlns:r="http://schemas.openxmlformats.org/officeDocument/2006/relationships" ref="R14" display="https://fbref.com/en/players/e5a76dfe/Dean-Henderson" r:id="rId35"/>
    <hyperlink xmlns:r="http://schemas.openxmlformats.org/officeDocument/2006/relationships" ref="B15" display="https://fbref.com/en/squads/d3fd31cc/Everton-Stats" r:id="rId36"/>
    <hyperlink xmlns:r="http://schemas.openxmlformats.org/officeDocument/2006/relationships" ref="Q15" display="https://fbref.com/en/players/5ed97752/Iliman-Ndiaye" r:id="rId37"/>
    <hyperlink xmlns:r="http://schemas.openxmlformats.org/officeDocument/2006/relationships" ref="R15" display="https://fbref.com/en/players/4806ec67/Jordan-Pickford" r:id="rId38"/>
    <hyperlink xmlns:r="http://schemas.openxmlformats.org/officeDocument/2006/relationships" ref="B16" display="https://fbref.com/en/squads/7c21e445/West-Ham-United-Stats" r:id="rId39"/>
    <hyperlink xmlns:r="http://schemas.openxmlformats.org/officeDocument/2006/relationships" ref="Q16" display="https://fbref.com/en/players/79c84d1c/Jarrod-Bowen" r:id="rId40"/>
    <hyperlink xmlns:r="http://schemas.openxmlformats.org/officeDocument/2006/relationships" ref="R16" display="https://fbref.com/en/players/2f965a72/Alphonse-Areola" r:id="rId41"/>
    <hyperlink xmlns:r="http://schemas.openxmlformats.org/officeDocument/2006/relationships" ref="B17" display="https://fbref.com/en/squads/19538871/Manchester-United-Stats" r:id="rId42"/>
    <hyperlink xmlns:r="http://schemas.openxmlformats.org/officeDocument/2006/relationships" ref="R17" display="https://fbref.com/en/players/e9c0c1b2/Andre-Onana" r:id="rId43"/>
    <hyperlink xmlns:r="http://schemas.openxmlformats.org/officeDocument/2006/relationships" ref="B18" display="https://fbref.com/en/squads/8cec06e1/Wolverhampton-Wanderers-Stats" r:id="rId44"/>
    <hyperlink xmlns:r="http://schemas.openxmlformats.org/officeDocument/2006/relationships" ref="Q18" display="https://fbref.com/en/players/dc62b55d/Matheus-Cunha" r:id="rId45"/>
    <hyperlink xmlns:r="http://schemas.openxmlformats.org/officeDocument/2006/relationships" ref="R18" display="https://fbref.com/en/players/903b6e8b/Jose-Sa" r:id="rId46"/>
    <hyperlink xmlns:r="http://schemas.openxmlformats.org/officeDocument/2006/relationships" ref="B19" display="https://fbref.com/en/squads/361ca564/Tottenham-Hotspur-Stats" r:id="rId47"/>
    <hyperlink xmlns:r="http://schemas.openxmlformats.org/officeDocument/2006/relationships" ref="Q19" display="https://fbref.com/en/players/0cd31129/Brennan-Johnson" r:id="rId48"/>
    <hyperlink xmlns:r="http://schemas.openxmlformats.org/officeDocument/2006/relationships" ref="R19" display="https://fbref.com/en/players/77d6fd4d/Guglielmo-Vicario" r:id="rId49"/>
    <hyperlink xmlns:r="http://schemas.openxmlformats.org/officeDocument/2006/relationships" ref="B20" display="https://fbref.com/en/squads/a2d435b3/Leicester-City-Stats" r:id="rId50"/>
    <hyperlink xmlns:r="http://schemas.openxmlformats.org/officeDocument/2006/relationships" ref="Q20" display="https://fbref.com/en/players/45963054/Jamie-Vardy" r:id="rId51"/>
    <hyperlink xmlns:r="http://schemas.openxmlformats.org/officeDocument/2006/relationships" ref="R20" display="https://fbref.com/en/players/c924b17d/Mads-Hermansen" r:id="rId52"/>
    <hyperlink xmlns:r="http://schemas.openxmlformats.org/officeDocument/2006/relationships" ref="B21" display="https://fbref.com/en/squads/b74092de/Ipswich-Town-Stats" r:id="rId53"/>
    <hyperlink xmlns:r="http://schemas.openxmlformats.org/officeDocument/2006/relationships" ref="Q21" display="https://fbref.com/en/players/dd897ee7/Liam-Delap" r:id="rId54"/>
    <hyperlink xmlns:r="http://schemas.openxmlformats.org/officeDocument/2006/relationships" ref="R21" display="https://fbref.com/en/players/99aa1a84/Arijanet-Muric" r:id="rId55"/>
    <hyperlink xmlns:r="http://schemas.openxmlformats.org/officeDocument/2006/relationships" ref="B22" display="https://fbref.com/en/squads/33c895d4/Southampton-Stats" r:id="rId56"/>
    <hyperlink xmlns:r="http://schemas.openxmlformats.org/officeDocument/2006/relationships" ref="Q22" display="https://fbref.com/en/players/c06d1086/Paul-Onuachu" r:id="rId57"/>
    <hyperlink xmlns:r="http://schemas.openxmlformats.org/officeDocument/2006/relationships" ref="R22" display="https://fbref.com/en/players/466fb2c5/Aaron-Ramsdale" r:id="rId58"/>
    <hyperlink xmlns:r="http://schemas.openxmlformats.org/officeDocument/2006/relationships" ref="B27" display="https://fbref.com/en/squads/822bd0ba/Liverpool-Stats" r:id="rId59"/>
    <hyperlink xmlns:r="http://schemas.openxmlformats.org/officeDocument/2006/relationships" ref="B28" display="https://fbref.com/en/squads/18bb7c10/Arsenal-Stats" r:id="rId60"/>
    <hyperlink xmlns:r="http://schemas.openxmlformats.org/officeDocument/2006/relationships" ref="B29" display="https://fbref.com/en/squads/b8fd03ef/2024-2025/Manchester-City-Stats" r:id="rId61"/>
    <hyperlink xmlns:r="http://schemas.openxmlformats.org/officeDocument/2006/relationships" ref="B30" display="https://fbref.com/en/squads/cff3d9bb/2024-2025/Chelsea-Stats" r:id="rId62"/>
    <hyperlink xmlns:r="http://schemas.openxmlformats.org/officeDocument/2006/relationships" ref="B31" display="https://fbref.com/en/squads/b2b47a98/Newcastle-United-Stats" r:id="rId63"/>
    <hyperlink xmlns:r="http://schemas.openxmlformats.org/officeDocument/2006/relationships" ref="B32" display="https://fbref.com/en/squads/8602292d/Aston-Villa-Stats" r:id="rId64"/>
    <hyperlink xmlns:r="http://schemas.openxmlformats.org/officeDocument/2006/relationships" ref="B33" display="https://fbref.com/en/squads/e4a775cb/Nottingham-Forest-Stats" r:id="rId65"/>
    <hyperlink xmlns:r="http://schemas.openxmlformats.org/officeDocument/2006/relationships" ref="B34" display="https://fbref.com/en/squads/d07537b9/Brighton-and-Hove-Albion-Stats" r:id="rId66"/>
    <hyperlink xmlns:r="http://schemas.openxmlformats.org/officeDocument/2006/relationships" ref="B35" display="https://fbref.com/en/squads/4ba7cbea/Bournemouth-Stats" r:id="rId67"/>
    <hyperlink xmlns:r="http://schemas.openxmlformats.org/officeDocument/2006/relationships" ref="B36" display="https://fbref.com/en/squads/cd051869/Brentford-Stats" r:id="rId68"/>
    <hyperlink xmlns:r="http://schemas.openxmlformats.org/officeDocument/2006/relationships" ref="B37" display="https://fbref.com/en/squads/fd962109/Fulham-Stats" r:id="rId69"/>
    <hyperlink xmlns:r="http://schemas.openxmlformats.org/officeDocument/2006/relationships" ref="B38" display="https://fbref.com/en/squads/47c64c55/Crystal-Palace-Stats" r:id="rId70"/>
    <hyperlink xmlns:r="http://schemas.openxmlformats.org/officeDocument/2006/relationships" ref="B39" display="https://fbref.com/en/squads/d3fd31cc/Everton-Stats" r:id="rId71"/>
    <hyperlink xmlns:r="http://schemas.openxmlformats.org/officeDocument/2006/relationships" ref="B40" display="https://fbref.com/en/squads/7c21e445/West-Ham-United-Stats" r:id="rId72"/>
    <hyperlink xmlns:r="http://schemas.openxmlformats.org/officeDocument/2006/relationships" ref="B41" display="https://fbref.com/en/squads/19538871/Manchester-United-Stats" r:id="rId73"/>
    <hyperlink xmlns:r="http://schemas.openxmlformats.org/officeDocument/2006/relationships" ref="B42" display="https://fbref.com/en/squads/8cec06e1/Wolverhampton-Wanderers-Stats" r:id="rId74"/>
    <hyperlink xmlns:r="http://schemas.openxmlformats.org/officeDocument/2006/relationships" ref="B43" display="https://fbref.com/en/squads/361ca564/Tottenham-Hotspur-Stats" r:id="rId75"/>
    <hyperlink xmlns:r="http://schemas.openxmlformats.org/officeDocument/2006/relationships" ref="B44" display="https://fbref.com/en/squads/a2d435b3/Leicester-City-Stats" r:id="rId76"/>
    <hyperlink xmlns:r="http://schemas.openxmlformats.org/officeDocument/2006/relationships" ref="B45" display="https://fbref.com/en/squads/b74092de/Ipswich-Town-Stats" r:id="rId77"/>
    <hyperlink xmlns:r="http://schemas.openxmlformats.org/officeDocument/2006/relationships" ref="B46" display="https://fbref.com/en/squads/33c895d4/Southampton-Stats" r:id="rId78"/>
    <hyperlink xmlns:r="http://schemas.openxmlformats.org/officeDocument/2006/relationships" ref="A51" display="https://fbref.com/en/squads/18bb7c10/Arsenal-Stats" r:id="rId79"/>
    <hyperlink xmlns:r="http://schemas.openxmlformats.org/officeDocument/2006/relationships" ref="A52" display="https://fbref.com/en/squads/8602292d/Aston-Villa-Stats" r:id="rId80"/>
    <hyperlink xmlns:r="http://schemas.openxmlformats.org/officeDocument/2006/relationships" ref="A53" display="https://fbref.com/en/squads/4ba7cbea/Bournemouth-Stats" r:id="rId81"/>
    <hyperlink xmlns:r="http://schemas.openxmlformats.org/officeDocument/2006/relationships" ref="A54" display="https://fbref.com/en/squads/cd051869/Brentford-Stats" r:id="rId82"/>
    <hyperlink xmlns:r="http://schemas.openxmlformats.org/officeDocument/2006/relationships" ref="A55" display="https://fbref.com/en/squads/d07537b9/Brighton-and-Hove-Albion-Stats" r:id="rId83"/>
    <hyperlink xmlns:r="http://schemas.openxmlformats.org/officeDocument/2006/relationships" ref="A56" display="https://fbref.com/en/squads/cff3d9bb/2024-2025/Chelsea-Stats" r:id="rId84"/>
    <hyperlink xmlns:r="http://schemas.openxmlformats.org/officeDocument/2006/relationships" ref="A57" display="https://fbref.com/en/squads/47c64c55/Crystal-Palace-Stats" r:id="rId85"/>
    <hyperlink xmlns:r="http://schemas.openxmlformats.org/officeDocument/2006/relationships" ref="A58" display="https://fbref.com/en/squads/d3fd31cc/Everton-Stats" r:id="rId86"/>
    <hyperlink xmlns:r="http://schemas.openxmlformats.org/officeDocument/2006/relationships" ref="A59" display="https://fbref.com/en/squads/fd962109/Fulham-Stats" r:id="rId87"/>
    <hyperlink xmlns:r="http://schemas.openxmlformats.org/officeDocument/2006/relationships" ref="A60" display="https://fbref.com/en/squads/b74092de/Ipswich-Town-Stats" r:id="rId88"/>
    <hyperlink xmlns:r="http://schemas.openxmlformats.org/officeDocument/2006/relationships" ref="A61" display="https://fbref.com/en/squads/a2d435b3/Leicester-City-Stats" r:id="rId89"/>
    <hyperlink xmlns:r="http://schemas.openxmlformats.org/officeDocument/2006/relationships" ref="A62" display="https://fbref.com/en/squads/822bd0ba/Liverpool-Stats" r:id="rId90"/>
    <hyperlink xmlns:r="http://schemas.openxmlformats.org/officeDocument/2006/relationships" ref="A63" display="https://fbref.com/en/squads/b8fd03ef/2024-2025/Manchester-City-Stats" r:id="rId91"/>
    <hyperlink xmlns:r="http://schemas.openxmlformats.org/officeDocument/2006/relationships" ref="A64" display="https://fbref.com/en/squads/19538871/Manchester-United-Stats" r:id="rId92"/>
    <hyperlink xmlns:r="http://schemas.openxmlformats.org/officeDocument/2006/relationships" ref="A65" display="https://fbref.com/en/squads/b2b47a98/Newcastle-United-Stats" r:id="rId93"/>
    <hyperlink xmlns:r="http://schemas.openxmlformats.org/officeDocument/2006/relationships" ref="A66" display="https://fbref.com/en/squads/e4a775cb/Nottingham-Forest-Stats" r:id="rId94"/>
    <hyperlink xmlns:r="http://schemas.openxmlformats.org/officeDocument/2006/relationships" ref="A67" display="https://fbref.com/en/squads/33c895d4/Southampton-Stats" r:id="rId95"/>
    <hyperlink xmlns:r="http://schemas.openxmlformats.org/officeDocument/2006/relationships" ref="A68" display="https://fbref.com/en/squads/361ca564/Tottenham-Hotspur-Stats" r:id="rId96"/>
    <hyperlink xmlns:r="http://schemas.openxmlformats.org/officeDocument/2006/relationships" ref="A69" display="https://fbref.com/en/squads/7c21e445/West-Ham-United-Stats" r:id="rId97"/>
    <hyperlink xmlns:r="http://schemas.openxmlformats.org/officeDocument/2006/relationships" ref="A70" display="https://fbref.com/en/squads/8cec06e1/Wolverhampton-Wanderers-Stats" r:id="rId98"/>
    <hyperlink xmlns:r="http://schemas.openxmlformats.org/officeDocument/2006/relationships" ref="A75" display="https://fbref.com/en/squads/18bb7c10/Arsenal-Stats" r:id="rId99"/>
    <hyperlink xmlns:r="http://schemas.openxmlformats.org/officeDocument/2006/relationships" ref="A76" display="https://fbref.com/en/squads/8602292d/Aston-Villa-Stats" r:id="rId100"/>
    <hyperlink xmlns:r="http://schemas.openxmlformats.org/officeDocument/2006/relationships" ref="A77" display="https://fbref.com/en/squads/4ba7cbea/Bournemouth-Stats" r:id="rId101"/>
    <hyperlink xmlns:r="http://schemas.openxmlformats.org/officeDocument/2006/relationships" ref="A78" display="https://fbref.com/en/squads/cd051869/Brentford-Stats" r:id="rId102"/>
    <hyperlink xmlns:r="http://schemas.openxmlformats.org/officeDocument/2006/relationships" ref="A79" display="https://fbref.com/en/squads/d07537b9/Brighton-and-Hove-Albion-Stats" r:id="rId103"/>
    <hyperlink xmlns:r="http://schemas.openxmlformats.org/officeDocument/2006/relationships" ref="A80" display="https://fbref.com/en/squads/cff3d9bb/2024-2025/Chelsea-Stats" r:id="rId104"/>
    <hyperlink xmlns:r="http://schemas.openxmlformats.org/officeDocument/2006/relationships" ref="A81" display="https://fbref.com/en/squads/47c64c55/Crystal-Palace-Stats" r:id="rId105"/>
    <hyperlink xmlns:r="http://schemas.openxmlformats.org/officeDocument/2006/relationships" ref="A82" display="https://fbref.com/en/squads/d3fd31cc/Everton-Stats" r:id="rId106"/>
    <hyperlink xmlns:r="http://schemas.openxmlformats.org/officeDocument/2006/relationships" ref="A83" display="https://fbref.com/en/squads/fd962109/Fulham-Stats" r:id="rId107"/>
    <hyperlink xmlns:r="http://schemas.openxmlformats.org/officeDocument/2006/relationships" ref="A84" display="https://fbref.com/en/squads/b74092de/Ipswich-Town-Stats" r:id="rId108"/>
    <hyperlink xmlns:r="http://schemas.openxmlformats.org/officeDocument/2006/relationships" ref="A85" display="https://fbref.com/en/squads/a2d435b3/Leicester-City-Stats" r:id="rId109"/>
    <hyperlink xmlns:r="http://schemas.openxmlformats.org/officeDocument/2006/relationships" ref="A86" display="https://fbref.com/en/squads/822bd0ba/Liverpool-Stats" r:id="rId110"/>
    <hyperlink xmlns:r="http://schemas.openxmlformats.org/officeDocument/2006/relationships" ref="A87" display="https://fbref.com/en/squads/b8fd03ef/2024-2025/Manchester-City-Stats" r:id="rId111"/>
    <hyperlink xmlns:r="http://schemas.openxmlformats.org/officeDocument/2006/relationships" ref="A88" display="https://fbref.com/en/squads/19538871/Manchester-United-Stats" r:id="rId112"/>
    <hyperlink xmlns:r="http://schemas.openxmlformats.org/officeDocument/2006/relationships" ref="A89" display="https://fbref.com/en/squads/b2b47a98/Newcastle-United-Stats" r:id="rId113"/>
    <hyperlink xmlns:r="http://schemas.openxmlformats.org/officeDocument/2006/relationships" ref="A90" display="https://fbref.com/en/squads/e4a775cb/Nottingham-Forest-Stats" r:id="rId114"/>
    <hyperlink xmlns:r="http://schemas.openxmlformats.org/officeDocument/2006/relationships" ref="A91" display="https://fbref.com/en/squads/33c895d4/Southampton-Stats" r:id="rId115"/>
    <hyperlink xmlns:r="http://schemas.openxmlformats.org/officeDocument/2006/relationships" ref="A92" display="https://fbref.com/en/squads/361ca564/Tottenham-Hotspur-Stats" r:id="rId116"/>
    <hyperlink xmlns:r="http://schemas.openxmlformats.org/officeDocument/2006/relationships" ref="A93" display="https://fbref.com/en/squads/7c21e445/West-Ham-United-Stats" r:id="rId117"/>
    <hyperlink xmlns:r="http://schemas.openxmlformats.org/officeDocument/2006/relationships" ref="A94" display="https://fbref.com/en/squads/8cec06e1/Wolverhampton-Wanderers-Stats" r:id="rId118"/>
    <hyperlink xmlns:r="http://schemas.openxmlformats.org/officeDocument/2006/relationships" ref="A99" display="https://fbref.com/en/squads/18bb7c10/Arsenal-Stats" r:id="rId119"/>
    <hyperlink xmlns:r="http://schemas.openxmlformats.org/officeDocument/2006/relationships" ref="A100" display="https://fbref.com/en/squads/8602292d/Aston-Villa-Stats" r:id="rId120"/>
    <hyperlink xmlns:r="http://schemas.openxmlformats.org/officeDocument/2006/relationships" ref="A101" display="https://fbref.com/en/squads/4ba7cbea/Bournemouth-Stats" r:id="rId121"/>
    <hyperlink xmlns:r="http://schemas.openxmlformats.org/officeDocument/2006/relationships" ref="A102" display="https://fbref.com/en/squads/cd051869/Brentford-Stats" r:id="rId122"/>
    <hyperlink xmlns:r="http://schemas.openxmlformats.org/officeDocument/2006/relationships" ref="A103" display="https://fbref.com/en/squads/d07537b9/Brighton-and-Hove-Albion-Stats" r:id="rId123"/>
    <hyperlink xmlns:r="http://schemas.openxmlformats.org/officeDocument/2006/relationships" ref="A104" display="https://fbref.com/en/squads/cff3d9bb/2024-2025/Chelsea-Stats" r:id="rId124"/>
    <hyperlink xmlns:r="http://schemas.openxmlformats.org/officeDocument/2006/relationships" ref="A105" display="https://fbref.com/en/squads/47c64c55/Crystal-Palace-Stats" r:id="rId125"/>
    <hyperlink xmlns:r="http://schemas.openxmlformats.org/officeDocument/2006/relationships" ref="A106" display="https://fbref.com/en/squads/d3fd31cc/Everton-Stats" r:id="rId126"/>
    <hyperlink xmlns:r="http://schemas.openxmlformats.org/officeDocument/2006/relationships" ref="A107" display="https://fbref.com/en/squads/fd962109/Fulham-Stats" r:id="rId127"/>
    <hyperlink xmlns:r="http://schemas.openxmlformats.org/officeDocument/2006/relationships" ref="A108" display="https://fbref.com/en/squads/b74092de/Ipswich-Town-Stats" r:id="rId128"/>
    <hyperlink xmlns:r="http://schemas.openxmlformats.org/officeDocument/2006/relationships" ref="A109" display="https://fbref.com/en/squads/a2d435b3/Leicester-City-Stats" r:id="rId129"/>
    <hyperlink xmlns:r="http://schemas.openxmlformats.org/officeDocument/2006/relationships" ref="A110" display="https://fbref.com/en/squads/822bd0ba/Liverpool-Stats" r:id="rId130"/>
    <hyperlink xmlns:r="http://schemas.openxmlformats.org/officeDocument/2006/relationships" ref="A111" display="https://fbref.com/en/squads/b8fd03ef/2024-2025/Manchester-City-Stats" r:id="rId131"/>
    <hyperlink xmlns:r="http://schemas.openxmlformats.org/officeDocument/2006/relationships" ref="A112" display="https://fbref.com/en/squads/19538871/Manchester-United-Stats" r:id="rId132"/>
    <hyperlink xmlns:r="http://schemas.openxmlformats.org/officeDocument/2006/relationships" ref="A113" display="https://fbref.com/en/squads/b2b47a98/Newcastle-United-Stats" r:id="rId133"/>
    <hyperlink xmlns:r="http://schemas.openxmlformats.org/officeDocument/2006/relationships" ref="A114" display="https://fbref.com/en/squads/e4a775cb/Nottingham-Forest-Stats" r:id="rId134"/>
    <hyperlink xmlns:r="http://schemas.openxmlformats.org/officeDocument/2006/relationships" ref="A115" display="https://fbref.com/en/squads/33c895d4/Southampton-Stats" r:id="rId135"/>
    <hyperlink xmlns:r="http://schemas.openxmlformats.org/officeDocument/2006/relationships" ref="A116" display="https://fbref.com/en/squads/361ca564/Tottenham-Hotspur-Stats" r:id="rId136"/>
    <hyperlink xmlns:r="http://schemas.openxmlformats.org/officeDocument/2006/relationships" ref="A117" display="https://fbref.com/en/squads/7c21e445/West-Ham-United-Stats" r:id="rId137"/>
    <hyperlink xmlns:r="http://schemas.openxmlformats.org/officeDocument/2006/relationships" ref="A118" display="https://fbref.com/en/squads/8cec06e1/Wolverhampton-Wanderers-Stats" r:id="rId138"/>
    <hyperlink xmlns:r="http://schemas.openxmlformats.org/officeDocument/2006/relationships" ref="A123" display="https://fbref.com/en/squads/18bb7c10/Arsenal-Stats" r:id="rId139"/>
    <hyperlink xmlns:r="http://schemas.openxmlformats.org/officeDocument/2006/relationships" ref="A124" display="https://fbref.com/en/squads/8602292d/Aston-Villa-Stats" r:id="rId140"/>
    <hyperlink xmlns:r="http://schemas.openxmlformats.org/officeDocument/2006/relationships" ref="A125" display="https://fbref.com/en/squads/4ba7cbea/Bournemouth-Stats" r:id="rId141"/>
    <hyperlink xmlns:r="http://schemas.openxmlformats.org/officeDocument/2006/relationships" ref="A126" display="https://fbref.com/en/squads/cd051869/Brentford-Stats" r:id="rId142"/>
    <hyperlink xmlns:r="http://schemas.openxmlformats.org/officeDocument/2006/relationships" ref="A127" display="https://fbref.com/en/squads/d07537b9/Brighton-and-Hove-Albion-Stats" r:id="rId143"/>
    <hyperlink xmlns:r="http://schemas.openxmlformats.org/officeDocument/2006/relationships" ref="A128" display="https://fbref.com/en/squads/cff3d9bb/2024-2025/Chelsea-Stats" r:id="rId144"/>
    <hyperlink xmlns:r="http://schemas.openxmlformats.org/officeDocument/2006/relationships" ref="A129" display="https://fbref.com/en/squads/47c64c55/Crystal-Palace-Stats" r:id="rId145"/>
    <hyperlink xmlns:r="http://schemas.openxmlformats.org/officeDocument/2006/relationships" ref="A130" display="https://fbref.com/en/squads/d3fd31cc/Everton-Stats" r:id="rId146"/>
    <hyperlink xmlns:r="http://schemas.openxmlformats.org/officeDocument/2006/relationships" ref="A131" display="https://fbref.com/en/squads/fd962109/Fulham-Stats" r:id="rId147"/>
    <hyperlink xmlns:r="http://schemas.openxmlformats.org/officeDocument/2006/relationships" ref="A132" display="https://fbref.com/en/squads/b74092de/Ipswich-Town-Stats" r:id="rId148"/>
    <hyperlink xmlns:r="http://schemas.openxmlformats.org/officeDocument/2006/relationships" ref="A133" display="https://fbref.com/en/squads/a2d435b3/Leicester-City-Stats" r:id="rId149"/>
    <hyperlink xmlns:r="http://schemas.openxmlformats.org/officeDocument/2006/relationships" ref="A134" display="https://fbref.com/en/squads/822bd0ba/Liverpool-Stats" r:id="rId150"/>
    <hyperlink xmlns:r="http://schemas.openxmlformats.org/officeDocument/2006/relationships" ref="A135" display="https://fbref.com/en/squads/b8fd03ef/2024-2025/Manchester-City-Stats" r:id="rId151"/>
    <hyperlink xmlns:r="http://schemas.openxmlformats.org/officeDocument/2006/relationships" ref="A136" display="https://fbref.com/en/squads/19538871/Manchester-United-Stats" r:id="rId152"/>
    <hyperlink xmlns:r="http://schemas.openxmlformats.org/officeDocument/2006/relationships" ref="A137" display="https://fbref.com/en/squads/b2b47a98/Newcastle-United-Stats" r:id="rId153"/>
    <hyperlink xmlns:r="http://schemas.openxmlformats.org/officeDocument/2006/relationships" ref="A138" display="https://fbref.com/en/squads/e4a775cb/Nottingham-Forest-Stats" r:id="rId154"/>
    <hyperlink xmlns:r="http://schemas.openxmlformats.org/officeDocument/2006/relationships" ref="A139" display="https://fbref.com/en/squads/33c895d4/Southampton-Stats" r:id="rId155"/>
    <hyperlink xmlns:r="http://schemas.openxmlformats.org/officeDocument/2006/relationships" ref="A140" display="https://fbref.com/en/squads/361ca564/Tottenham-Hotspur-Stats" r:id="rId156"/>
    <hyperlink xmlns:r="http://schemas.openxmlformats.org/officeDocument/2006/relationships" ref="A141" display="https://fbref.com/en/squads/7c21e445/West-Ham-United-Stats" r:id="rId157"/>
    <hyperlink xmlns:r="http://schemas.openxmlformats.org/officeDocument/2006/relationships" ref="A142" display="https://fbref.com/en/squads/8cec06e1/Wolverhampton-Wanderers-Stats" r:id="rId158"/>
    <hyperlink xmlns:r="http://schemas.openxmlformats.org/officeDocument/2006/relationships" ref="A147" display="https://fbref.com/en/squads/18bb7c10/Arsenal-Stats" r:id="rId159"/>
    <hyperlink xmlns:r="http://schemas.openxmlformats.org/officeDocument/2006/relationships" ref="A148" display="https://fbref.com/en/squads/8602292d/Aston-Villa-Stats" r:id="rId160"/>
    <hyperlink xmlns:r="http://schemas.openxmlformats.org/officeDocument/2006/relationships" ref="A149" display="https://fbref.com/en/squads/4ba7cbea/Bournemouth-Stats" r:id="rId161"/>
    <hyperlink xmlns:r="http://schemas.openxmlformats.org/officeDocument/2006/relationships" ref="A150" display="https://fbref.com/en/squads/cd051869/Brentford-Stats" r:id="rId162"/>
    <hyperlink xmlns:r="http://schemas.openxmlformats.org/officeDocument/2006/relationships" ref="A151" display="https://fbref.com/en/squads/d07537b9/Brighton-and-Hove-Albion-Stats" r:id="rId163"/>
    <hyperlink xmlns:r="http://schemas.openxmlformats.org/officeDocument/2006/relationships" ref="A152" display="https://fbref.com/en/squads/cff3d9bb/2024-2025/Chelsea-Stats" r:id="rId164"/>
    <hyperlink xmlns:r="http://schemas.openxmlformats.org/officeDocument/2006/relationships" ref="A153" display="https://fbref.com/en/squads/47c64c55/Crystal-Palace-Stats" r:id="rId165"/>
    <hyperlink xmlns:r="http://schemas.openxmlformats.org/officeDocument/2006/relationships" ref="A154" display="https://fbref.com/en/squads/d3fd31cc/Everton-Stats" r:id="rId166"/>
    <hyperlink xmlns:r="http://schemas.openxmlformats.org/officeDocument/2006/relationships" ref="A155" display="https://fbref.com/en/squads/fd962109/Fulham-Stats" r:id="rId167"/>
    <hyperlink xmlns:r="http://schemas.openxmlformats.org/officeDocument/2006/relationships" ref="A156" display="https://fbref.com/en/squads/b74092de/Ipswich-Town-Stats" r:id="rId168"/>
    <hyperlink xmlns:r="http://schemas.openxmlformats.org/officeDocument/2006/relationships" ref="A157" display="https://fbref.com/en/squads/a2d435b3/Leicester-City-Stats" r:id="rId169"/>
    <hyperlink xmlns:r="http://schemas.openxmlformats.org/officeDocument/2006/relationships" ref="A158" display="https://fbref.com/en/squads/822bd0ba/Liverpool-Stats" r:id="rId170"/>
    <hyperlink xmlns:r="http://schemas.openxmlformats.org/officeDocument/2006/relationships" ref="A159" display="https://fbref.com/en/squads/b8fd03ef/2024-2025/Manchester-City-Stats" r:id="rId171"/>
    <hyperlink xmlns:r="http://schemas.openxmlformats.org/officeDocument/2006/relationships" ref="A160" display="https://fbref.com/en/squads/19538871/Manchester-United-Stats" r:id="rId172"/>
    <hyperlink xmlns:r="http://schemas.openxmlformats.org/officeDocument/2006/relationships" ref="A161" display="https://fbref.com/en/squads/b2b47a98/Newcastle-United-Stats" r:id="rId173"/>
    <hyperlink xmlns:r="http://schemas.openxmlformats.org/officeDocument/2006/relationships" ref="A162" display="https://fbref.com/en/squads/e4a775cb/Nottingham-Forest-Stats" r:id="rId174"/>
    <hyperlink xmlns:r="http://schemas.openxmlformats.org/officeDocument/2006/relationships" ref="A163" display="https://fbref.com/en/squads/33c895d4/Southampton-Stats" r:id="rId175"/>
    <hyperlink xmlns:r="http://schemas.openxmlformats.org/officeDocument/2006/relationships" ref="A164" display="https://fbref.com/en/squads/361ca564/Tottenham-Hotspur-Stats" r:id="rId176"/>
    <hyperlink xmlns:r="http://schemas.openxmlformats.org/officeDocument/2006/relationships" ref="A165" display="https://fbref.com/en/squads/7c21e445/West-Ham-United-Stats" r:id="rId177"/>
    <hyperlink xmlns:r="http://schemas.openxmlformats.org/officeDocument/2006/relationships" ref="A166" display="https://fbref.com/en/squads/8cec06e1/Wolverhampton-Wanderers-Stats" r:id="rId178"/>
    <hyperlink xmlns:r="http://schemas.openxmlformats.org/officeDocument/2006/relationships" ref="A171" display="https://fbref.com/en/squads/18bb7c10/Arsenal-Stats" r:id="rId179"/>
    <hyperlink xmlns:r="http://schemas.openxmlformats.org/officeDocument/2006/relationships" ref="A172" display="https://fbref.com/en/squads/8602292d/Aston-Villa-Stats" r:id="rId180"/>
    <hyperlink xmlns:r="http://schemas.openxmlformats.org/officeDocument/2006/relationships" ref="A173" display="https://fbref.com/en/squads/4ba7cbea/Bournemouth-Stats" r:id="rId181"/>
    <hyperlink xmlns:r="http://schemas.openxmlformats.org/officeDocument/2006/relationships" ref="A174" display="https://fbref.com/en/squads/cd051869/Brentford-Stats" r:id="rId182"/>
    <hyperlink xmlns:r="http://schemas.openxmlformats.org/officeDocument/2006/relationships" ref="A175" display="https://fbref.com/en/squads/d07537b9/Brighton-and-Hove-Albion-Stats" r:id="rId183"/>
    <hyperlink xmlns:r="http://schemas.openxmlformats.org/officeDocument/2006/relationships" ref="A176" display="https://fbref.com/en/squads/cff3d9bb/2024-2025/Chelsea-Stats" r:id="rId184"/>
    <hyperlink xmlns:r="http://schemas.openxmlformats.org/officeDocument/2006/relationships" ref="A177" display="https://fbref.com/en/squads/47c64c55/Crystal-Palace-Stats" r:id="rId185"/>
    <hyperlink xmlns:r="http://schemas.openxmlformats.org/officeDocument/2006/relationships" ref="A178" display="https://fbref.com/en/squads/d3fd31cc/Everton-Stats" r:id="rId186"/>
    <hyperlink xmlns:r="http://schemas.openxmlformats.org/officeDocument/2006/relationships" ref="A179" display="https://fbref.com/en/squads/fd962109/Fulham-Stats" r:id="rId187"/>
    <hyperlink xmlns:r="http://schemas.openxmlformats.org/officeDocument/2006/relationships" ref="A180" display="https://fbref.com/en/squads/b74092de/Ipswich-Town-Stats" r:id="rId188"/>
    <hyperlink xmlns:r="http://schemas.openxmlformats.org/officeDocument/2006/relationships" ref="A181" display="https://fbref.com/en/squads/a2d435b3/Leicester-City-Stats" r:id="rId189"/>
    <hyperlink xmlns:r="http://schemas.openxmlformats.org/officeDocument/2006/relationships" ref="A182" display="https://fbref.com/en/squads/822bd0ba/Liverpool-Stats" r:id="rId190"/>
    <hyperlink xmlns:r="http://schemas.openxmlformats.org/officeDocument/2006/relationships" ref="A183" display="https://fbref.com/en/squads/b8fd03ef/2024-2025/Manchester-City-Stats" r:id="rId191"/>
    <hyperlink xmlns:r="http://schemas.openxmlformats.org/officeDocument/2006/relationships" ref="A184" display="https://fbref.com/en/squads/19538871/Manchester-United-Stats" r:id="rId192"/>
    <hyperlink xmlns:r="http://schemas.openxmlformats.org/officeDocument/2006/relationships" ref="A185" display="https://fbref.com/en/squads/b2b47a98/Newcastle-United-Stats" r:id="rId193"/>
    <hyperlink xmlns:r="http://schemas.openxmlformats.org/officeDocument/2006/relationships" ref="A186" display="https://fbref.com/en/squads/e4a775cb/Nottingham-Forest-Stats" r:id="rId194"/>
    <hyperlink xmlns:r="http://schemas.openxmlformats.org/officeDocument/2006/relationships" ref="A187" display="https://fbref.com/en/squads/33c895d4/Southampton-Stats" r:id="rId195"/>
    <hyperlink xmlns:r="http://schemas.openxmlformats.org/officeDocument/2006/relationships" ref="A188" display="https://fbref.com/en/squads/361ca564/Tottenham-Hotspur-Stats" r:id="rId196"/>
    <hyperlink xmlns:r="http://schemas.openxmlformats.org/officeDocument/2006/relationships" ref="A189" display="https://fbref.com/en/squads/7c21e445/West-Ham-United-Stats" r:id="rId197"/>
    <hyperlink xmlns:r="http://schemas.openxmlformats.org/officeDocument/2006/relationships" ref="A190" display="https://fbref.com/en/squads/8cec06e1/Wolverhampton-Wanderers-Stats" r:id="rId198"/>
    <hyperlink xmlns:r="http://schemas.openxmlformats.org/officeDocument/2006/relationships" ref="A195" display="https://fbref.com/en/squads/18bb7c10/Arsenal-Stats" r:id="rId199"/>
    <hyperlink xmlns:r="http://schemas.openxmlformats.org/officeDocument/2006/relationships" ref="A196" display="https://fbref.com/en/squads/8602292d/Aston-Villa-Stats" r:id="rId200"/>
    <hyperlink xmlns:r="http://schemas.openxmlformats.org/officeDocument/2006/relationships" ref="A197" display="https://fbref.com/en/squads/4ba7cbea/Bournemouth-Stats" r:id="rId201"/>
    <hyperlink xmlns:r="http://schemas.openxmlformats.org/officeDocument/2006/relationships" ref="A198" display="https://fbref.com/en/squads/cd051869/Brentford-Stats" r:id="rId202"/>
    <hyperlink xmlns:r="http://schemas.openxmlformats.org/officeDocument/2006/relationships" ref="A199" display="https://fbref.com/en/squads/d07537b9/Brighton-and-Hove-Albion-Stats" r:id="rId203"/>
    <hyperlink xmlns:r="http://schemas.openxmlformats.org/officeDocument/2006/relationships" ref="A200" display="https://fbref.com/en/squads/cff3d9bb/2024-2025/Chelsea-Stats" r:id="rId204"/>
    <hyperlink xmlns:r="http://schemas.openxmlformats.org/officeDocument/2006/relationships" ref="A201" display="https://fbref.com/en/squads/47c64c55/Crystal-Palace-Stats" r:id="rId205"/>
    <hyperlink xmlns:r="http://schemas.openxmlformats.org/officeDocument/2006/relationships" ref="A202" display="https://fbref.com/en/squads/d3fd31cc/Everton-Stats" r:id="rId206"/>
    <hyperlink xmlns:r="http://schemas.openxmlformats.org/officeDocument/2006/relationships" ref="A203" display="https://fbref.com/en/squads/fd962109/Fulham-Stats" r:id="rId207"/>
    <hyperlink xmlns:r="http://schemas.openxmlformats.org/officeDocument/2006/relationships" ref="A204" display="https://fbref.com/en/squads/b74092de/Ipswich-Town-Stats" r:id="rId208"/>
    <hyperlink xmlns:r="http://schemas.openxmlformats.org/officeDocument/2006/relationships" ref="A205" display="https://fbref.com/en/squads/a2d435b3/Leicester-City-Stats" r:id="rId209"/>
    <hyperlink xmlns:r="http://schemas.openxmlformats.org/officeDocument/2006/relationships" ref="A206" display="https://fbref.com/en/squads/822bd0ba/Liverpool-Stats" r:id="rId210"/>
    <hyperlink xmlns:r="http://schemas.openxmlformats.org/officeDocument/2006/relationships" ref="A207" display="https://fbref.com/en/squads/b8fd03ef/2024-2025/Manchester-City-Stats" r:id="rId211"/>
    <hyperlink xmlns:r="http://schemas.openxmlformats.org/officeDocument/2006/relationships" ref="A208" display="https://fbref.com/en/squads/19538871/Manchester-United-Stats" r:id="rId212"/>
    <hyperlink xmlns:r="http://schemas.openxmlformats.org/officeDocument/2006/relationships" ref="A209" display="https://fbref.com/en/squads/b2b47a98/Newcastle-United-Stats" r:id="rId213"/>
    <hyperlink xmlns:r="http://schemas.openxmlformats.org/officeDocument/2006/relationships" ref="A210" display="https://fbref.com/en/squads/e4a775cb/Nottingham-Forest-Stats" r:id="rId214"/>
    <hyperlink xmlns:r="http://schemas.openxmlformats.org/officeDocument/2006/relationships" ref="A211" display="https://fbref.com/en/squads/33c895d4/Southampton-Stats" r:id="rId215"/>
    <hyperlink xmlns:r="http://schemas.openxmlformats.org/officeDocument/2006/relationships" ref="A212" display="https://fbref.com/en/squads/361ca564/Tottenham-Hotspur-Stats" r:id="rId216"/>
    <hyperlink xmlns:r="http://schemas.openxmlformats.org/officeDocument/2006/relationships" ref="A213" display="https://fbref.com/en/squads/7c21e445/West-Ham-United-Stats" r:id="rId217"/>
    <hyperlink xmlns:r="http://schemas.openxmlformats.org/officeDocument/2006/relationships" ref="A214" display="https://fbref.com/en/squads/8cec06e1/Wolverhampton-Wanderers-Stats" r:id="rId218"/>
    <hyperlink xmlns:r="http://schemas.openxmlformats.org/officeDocument/2006/relationships" ref="A219" display="https://fbref.com/en/squads/18bb7c10/Arsenal-Stats" r:id="rId219"/>
    <hyperlink xmlns:r="http://schemas.openxmlformats.org/officeDocument/2006/relationships" ref="A220" display="https://fbref.com/en/squads/8602292d/Aston-Villa-Stats" r:id="rId220"/>
    <hyperlink xmlns:r="http://schemas.openxmlformats.org/officeDocument/2006/relationships" ref="A221" display="https://fbref.com/en/squads/4ba7cbea/Bournemouth-Stats" r:id="rId221"/>
    <hyperlink xmlns:r="http://schemas.openxmlformats.org/officeDocument/2006/relationships" ref="A222" display="https://fbref.com/en/squads/cd051869/Brentford-Stats" r:id="rId222"/>
    <hyperlink xmlns:r="http://schemas.openxmlformats.org/officeDocument/2006/relationships" ref="A223" display="https://fbref.com/en/squads/d07537b9/Brighton-and-Hove-Albion-Stats" r:id="rId223"/>
    <hyperlink xmlns:r="http://schemas.openxmlformats.org/officeDocument/2006/relationships" ref="A224" display="https://fbref.com/en/squads/cff3d9bb/2024-2025/Chelsea-Stats" r:id="rId224"/>
    <hyperlink xmlns:r="http://schemas.openxmlformats.org/officeDocument/2006/relationships" ref="A225" display="https://fbref.com/en/squads/47c64c55/Crystal-Palace-Stats" r:id="rId225"/>
    <hyperlink xmlns:r="http://schemas.openxmlformats.org/officeDocument/2006/relationships" ref="A226" display="https://fbref.com/en/squads/d3fd31cc/Everton-Stats" r:id="rId226"/>
    <hyperlink xmlns:r="http://schemas.openxmlformats.org/officeDocument/2006/relationships" ref="A227" display="https://fbref.com/en/squads/fd962109/Fulham-Stats" r:id="rId227"/>
    <hyperlink xmlns:r="http://schemas.openxmlformats.org/officeDocument/2006/relationships" ref="A228" display="https://fbref.com/en/squads/b74092de/Ipswich-Town-Stats" r:id="rId228"/>
    <hyperlink xmlns:r="http://schemas.openxmlformats.org/officeDocument/2006/relationships" ref="A229" display="https://fbref.com/en/squads/a2d435b3/Leicester-City-Stats" r:id="rId229"/>
    <hyperlink xmlns:r="http://schemas.openxmlformats.org/officeDocument/2006/relationships" ref="A230" display="https://fbref.com/en/squads/822bd0ba/Liverpool-Stats" r:id="rId230"/>
    <hyperlink xmlns:r="http://schemas.openxmlformats.org/officeDocument/2006/relationships" ref="A231" display="https://fbref.com/en/squads/b8fd03ef/2024-2025/Manchester-City-Stats" r:id="rId231"/>
    <hyperlink xmlns:r="http://schemas.openxmlformats.org/officeDocument/2006/relationships" ref="A232" display="https://fbref.com/en/squads/19538871/Manchester-United-Stats" r:id="rId232"/>
    <hyperlink xmlns:r="http://schemas.openxmlformats.org/officeDocument/2006/relationships" ref="A233" display="https://fbref.com/en/squads/b2b47a98/Newcastle-United-Stats" r:id="rId233"/>
    <hyperlink xmlns:r="http://schemas.openxmlformats.org/officeDocument/2006/relationships" ref="A234" display="https://fbref.com/en/squads/e4a775cb/Nottingham-Forest-Stats" r:id="rId234"/>
    <hyperlink xmlns:r="http://schemas.openxmlformats.org/officeDocument/2006/relationships" ref="A235" display="https://fbref.com/en/squads/33c895d4/Southampton-Stats" r:id="rId235"/>
    <hyperlink xmlns:r="http://schemas.openxmlformats.org/officeDocument/2006/relationships" ref="A236" display="https://fbref.com/en/squads/361ca564/Tottenham-Hotspur-Stats" r:id="rId236"/>
    <hyperlink xmlns:r="http://schemas.openxmlformats.org/officeDocument/2006/relationships" ref="A237" display="https://fbref.com/en/squads/7c21e445/West-Ham-United-Stats" r:id="rId237"/>
    <hyperlink xmlns:r="http://schemas.openxmlformats.org/officeDocument/2006/relationships" ref="A238" display="https://fbref.com/en/squads/8cec06e1/Wolverhampton-Wanderers-Stats" r:id="rId238"/>
    <hyperlink xmlns:r="http://schemas.openxmlformats.org/officeDocument/2006/relationships" ref="A243" display="https://fbref.com/en/squads/18bb7c10/Arsenal-Stats" r:id="rId239"/>
    <hyperlink xmlns:r="http://schemas.openxmlformats.org/officeDocument/2006/relationships" ref="A244" display="https://fbref.com/en/squads/8602292d/Aston-Villa-Stats" r:id="rId240"/>
    <hyperlink xmlns:r="http://schemas.openxmlformats.org/officeDocument/2006/relationships" ref="A245" display="https://fbref.com/en/squads/4ba7cbea/Bournemouth-Stats" r:id="rId241"/>
    <hyperlink xmlns:r="http://schemas.openxmlformats.org/officeDocument/2006/relationships" ref="A246" display="https://fbref.com/en/squads/cd051869/Brentford-Stats" r:id="rId242"/>
    <hyperlink xmlns:r="http://schemas.openxmlformats.org/officeDocument/2006/relationships" ref="A247" display="https://fbref.com/en/squads/d07537b9/Brighton-and-Hove-Albion-Stats" r:id="rId243"/>
    <hyperlink xmlns:r="http://schemas.openxmlformats.org/officeDocument/2006/relationships" ref="A248" display="https://fbref.com/en/squads/cff3d9bb/2024-2025/Chelsea-Stats" r:id="rId244"/>
    <hyperlink xmlns:r="http://schemas.openxmlformats.org/officeDocument/2006/relationships" ref="A249" display="https://fbref.com/en/squads/47c64c55/Crystal-Palace-Stats" r:id="rId245"/>
    <hyperlink xmlns:r="http://schemas.openxmlformats.org/officeDocument/2006/relationships" ref="A250" display="https://fbref.com/en/squads/d3fd31cc/Everton-Stats" r:id="rId246"/>
    <hyperlink xmlns:r="http://schemas.openxmlformats.org/officeDocument/2006/relationships" ref="A251" display="https://fbref.com/en/squads/fd962109/Fulham-Stats" r:id="rId247"/>
    <hyperlink xmlns:r="http://schemas.openxmlformats.org/officeDocument/2006/relationships" ref="A252" display="https://fbref.com/en/squads/b74092de/Ipswich-Town-Stats" r:id="rId248"/>
    <hyperlink xmlns:r="http://schemas.openxmlformats.org/officeDocument/2006/relationships" ref="A253" display="https://fbref.com/en/squads/a2d435b3/Leicester-City-Stats" r:id="rId249"/>
    <hyperlink xmlns:r="http://schemas.openxmlformats.org/officeDocument/2006/relationships" ref="A254" display="https://fbref.com/en/squads/822bd0ba/Liverpool-Stats" r:id="rId250"/>
    <hyperlink xmlns:r="http://schemas.openxmlformats.org/officeDocument/2006/relationships" ref="A255" display="https://fbref.com/en/squads/b8fd03ef/2024-2025/Manchester-City-Stats" r:id="rId251"/>
    <hyperlink xmlns:r="http://schemas.openxmlformats.org/officeDocument/2006/relationships" ref="A256" display="https://fbref.com/en/squads/19538871/Manchester-United-Stats" r:id="rId252"/>
    <hyperlink xmlns:r="http://schemas.openxmlformats.org/officeDocument/2006/relationships" ref="A257" display="https://fbref.com/en/squads/b2b47a98/Newcastle-United-Stats" r:id="rId253"/>
    <hyperlink xmlns:r="http://schemas.openxmlformats.org/officeDocument/2006/relationships" ref="A258" display="https://fbref.com/en/squads/e4a775cb/Nottingham-Forest-Stats" r:id="rId254"/>
    <hyperlink xmlns:r="http://schemas.openxmlformats.org/officeDocument/2006/relationships" ref="A259" display="https://fbref.com/en/squads/33c895d4/Southampton-Stats" r:id="rId255"/>
    <hyperlink xmlns:r="http://schemas.openxmlformats.org/officeDocument/2006/relationships" ref="A260" display="https://fbref.com/en/squads/361ca564/Tottenham-Hotspur-Stats" r:id="rId256"/>
    <hyperlink xmlns:r="http://schemas.openxmlformats.org/officeDocument/2006/relationships" ref="A261" display="https://fbref.com/en/squads/7c21e445/West-Ham-United-Stats" r:id="rId257"/>
    <hyperlink xmlns:r="http://schemas.openxmlformats.org/officeDocument/2006/relationships" ref="A262" display="https://fbref.com/en/squads/8cec06e1/Wolverhampton-Wanderers-Stats" r:id="rId258"/>
    <hyperlink xmlns:r="http://schemas.openxmlformats.org/officeDocument/2006/relationships" ref="A267" display="https://fbref.com/en/squads/18bb7c10/Arsenal-Stats" r:id="rId259"/>
    <hyperlink xmlns:r="http://schemas.openxmlformats.org/officeDocument/2006/relationships" ref="A268" display="https://fbref.com/en/squads/8602292d/Aston-Villa-Stats" r:id="rId260"/>
    <hyperlink xmlns:r="http://schemas.openxmlformats.org/officeDocument/2006/relationships" ref="A269" display="https://fbref.com/en/squads/4ba7cbea/Bournemouth-Stats" r:id="rId261"/>
    <hyperlink xmlns:r="http://schemas.openxmlformats.org/officeDocument/2006/relationships" ref="A270" display="https://fbref.com/en/squads/cd051869/Brentford-Stats" r:id="rId262"/>
    <hyperlink xmlns:r="http://schemas.openxmlformats.org/officeDocument/2006/relationships" ref="A271" display="https://fbref.com/en/squads/d07537b9/Brighton-and-Hove-Albion-Stats" r:id="rId263"/>
    <hyperlink xmlns:r="http://schemas.openxmlformats.org/officeDocument/2006/relationships" ref="A272" display="https://fbref.com/en/squads/cff3d9bb/2024-2025/Chelsea-Stats" r:id="rId264"/>
    <hyperlink xmlns:r="http://schemas.openxmlformats.org/officeDocument/2006/relationships" ref="A273" display="https://fbref.com/en/squads/47c64c55/Crystal-Palace-Stats" r:id="rId265"/>
    <hyperlink xmlns:r="http://schemas.openxmlformats.org/officeDocument/2006/relationships" ref="A274" display="https://fbref.com/en/squads/d3fd31cc/Everton-Stats" r:id="rId266"/>
    <hyperlink xmlns:r="http://schemas.openxmlformats.org/officeDocument/2006/relationships" ref="A275" display="https://fbref.com/en/squads/fd962109/Fulham-Stats" r:id="rId267"/>
    <hyperlink xmlns:r="http://schemas.openxmlformats.org/officeDocument/2006/relationships" ref="A276" display="https://fbref.com/en/squads/b74092de/Ipswich-Town-Stats" r:id="rId268"/>
    <hyperlink xmlns:r="http://schemas.openxmlformats.org/officeDocument/2006/relationships" ref="A277" display="https://fbref.com/en/squads/a2d435b3/Leicester-City-Stats" r:id="rId269"/>
    <hyperlink xmlns:r="http://schemas.openxmlformats.org/officeDocument/2006/relationships" ref="A278" display="https://fbref.com/en/squads/822bd0ba/Liverpool-Stats" r:id="rId270"/>
    <hyperlink xmlns:r="http://schemas.openxmlformats.org/officeDocument/2006/relationships" ref="A279" display="https://fbref.com/en/squads/b8fd03ef/2024-2025/Manchester-City-Stats" r:id="rId271"/>
    <hyperlink xmlns:r="http://schemas.openxmlformats.org/officeDocument/2006/relationships" ref="A280" display="https://fbref.com/en/squads/19538871/Manchester-United-Stats" r:id="rId272"/>
    <hyperlink xmlns:r="http://schemas.openxmlformats.org/officeDocument/2006/relationships" ref="A281" display="https://fbref.com/en/squads/b2b47a98/Newcastle-United-Stats" r:id="rId273"/>
    <hyperlink xmlns:r="http://schemas.openxmlformats.org/officeDocument/2006/relationships" ref="A282" display="https://fbref.com/en/squads/e4a775cb/Nottingham-Forest-Stats" r:id="rId274"/>
    <hyperlink xmlns:r="http://schemas.openxmlformats.org/officeDocument/2006/relationships" ref="A283" display="https://fbref.com/en/squads/33c895d4/Southampton-Stats" r:id="rId275"/>
    <hyperlink xmlns:r="http://schemas.openxmlformats.org/officeDocument/2006/relationships" ref="A284" display="https://fbref.com/en/squads/361ca564/Tottenham-Hotspur-Stats" r:id="rId276"/>
    <hyperlink xmlns:r="http://schemas.openxmlformats.org/officeDocument/2006/relationships" ref="A285" display="https://fbref.com/en/squads/7c21e445/West-Ham-United-Stats" r:id="rId277"/>
    <hyperlink xmlns:r="http://schemas.openxmlformats.org/officeDocument/2006/relationships" ref="A286" display="https://fbref.com/en/squads/8cec06e1/Wolverhampton-Wanderers-Stats" r:id="rId278"/>
    <hyperlink xmlns:r="http://schemas.openxmlformats.org/officeDocument/2006/relationships" ref="A291" display="https://fbref.com/en/squads/18bb7c10/Arsenal-Stats" r:id="rId279"/>
    <hyperlink xmlns:r="http://schemas.openxmlformats.org/officeDocument/2006/relationships" ref="A292" display="https://fbref.com/en/squads/8602292d/Aston-Villa-Stats" r:id="rId280"/>
    <hyperlink xmlns:r="http://schemas.openxmlformats.org/officeDocument/2006/relationships" ref="A293" display="https://fbref.com/en/squads/4ba7cbea/Bournemouth-Stats" r:id="rId281"/>
    <hyperlink xmlns:r="http://schemas.openxmlformats.org/officeDocument/2006/relationships" ref="A294" display="https://fbref.com/en/squads/cd051869/Brentford-Stats" r:id="rId282"/>
    <hyperlink xmlns:r="http://schemas.openxmlformats.org/officeDocument/2006/relationships" ref="A295" display="https://fbref.com/en/squads/d07537b9/Brighton-and-Hove-Albion-Stats" r:id="rId283"/>
    <hyperlink xmlns:r="http://schemas.openxmlformats.org/officeDocument/2006/relationships" ref="A296" display="https://fbref.com/en/squads/cff3d9bb/2024-2025/Chelsea-Stats" r:id="rId284"/>
    <hyperlink xmlns:r="http://schemas.openxmlformats.org/officeDocument/2006/relationships" ref="A297" display="https://fbref.com/en/squads/47c64c55/Crystal-Palace-Stats" r:id="rId285"/>
    <hyperlink xmlns:r="http://schemas.openxmlformats.org/officeDocument/2006/relationships" ref="A298" display="https://fbref.com/en/squads/d3fd31cc/Everton-Stats" r:id="rId286"/>
    <hyperlink xmlns:r="http://schemas.openxmlformats.org/officeDocument/2006/relationships" ref="A299" display="https://fbref.com/en/squads/fd962109/Fulham-Stats" r:id="rId287"/>
    <hyperlink xmlns:r="http://schemas.openxmlformats.org/officeDocument/2006/relationships" ref="A300" display="https://fbref.com/en/squads/b74092de/Ipswich-Town-Stats" r:id="rId288"/>
    <hyperlink xmlns:r="http://schemas.openxmlformats.org/officeDocument/2006/relationships" ref="A301" display="https://fbref.com/en/squads/a2d435b3/Leicester-City-Stats" r:id="rId289"/>
    <hyperlink xmlns:r="http://schemas.openxmlformats.org/officeDocument/2006/relationships" ref="A302" display="https://fbref.com/en/squads/822bd0ba/Liverpool-Stats" r:id="rId290"/>
    <hyperlink xmlns:r="http://schemas.openxmlformats.org/officeDocument/2006/relationships" ref="A303" display="https://fbref.com/en/squads/b8fd03ef/2024-2025/Manchester-City-Stats" r:id="rId291"/>
    <hyperlink xmlns:r="http://schemas.openxmlformats.org/officeDocument/2006/relationships" ref="A304" display="https://fbref.com/en/squads/19538871/Manchester-United-Stats" r:id="rId292"/>
    <hyperlink xmlns:r="http://schemas.openxmlformats.org/officeDocument/2006/relationships" ref="A305" display="https://fbref.com/en/squads/b2b47a98/Newcastle-United-Stats" r:id="rId293"/>
    <hyperlink xmlns:r="http://schemas.openxmlformats.org/officeDocument/2006/relationships" ref="A306" display="https://fbref.com/en/squads/e4a775cb/Nottingham-Forest-Stats" r:id="rId294"/>
    <hyperlink xmlns:r="http://schemas.openxmlformats.org/officeDocument/2006/relationships" ref="A307" display="https://fbref.com/en/squads/33c895d4/Southampton-Stats" r:id="rId295"/>
    <hyperlink xmlns:r="http://schemas.openxmlformats.org/officeDocument/2006/relationships" ref="A308" display="https://fbref.com/en/squads/361ca564/Tottenham-Hotspur-Stats" r:id="rId296"/>
    <hyperlink xmlns:r="http://schemas.openxmlformats.org/officeDocument/2006/relationships" ref="A309" display="https://fbref.com/en/squads/7c21e445/West-Ham-United-Stats" r:id="rId297"/>
    <hyperlink xmlns:r="http://schemas.openxmlformats.org/officeDocument/2006/relationships" ref="A310" display="https://fbref.com/en/squads/8cec06e1/Wolverhampton-Wanderers-Stats" r:id="rId298"/>
    <hyperlink xmlns:r="http://schemas.openxmlformats.org/officeDocument/2006/relationships" ref="A315" display="https://fbref.com/en/squads/18bb7c10/Arsenal-Stats" r:id="rId299"/>
    <hyperlink xmlns:r="http://schemas.openxmlformats.org/officeDocument/2006/relationships" ref="A316" display="https://fbref.com/en/squads/8602292d/Aston-Villa-Stats" r:id="rId300"/>
    <hyperlink xmlns:r="http://schemas.openxmlformats.org/officeDocument/2006/relationships" ref="A317" display="https://fbref.com/en/squads/4ba7cbea/Bournemouth-Stats" r:id="rId301"/>
    <hyperlink xmlns:r="http://schemas.openxmlformats.org/officeDocument/2006/relationships" ref="A318" display="https://fbref.com/en/squads/cd051869/Brentford-Stats" r:id="rId302"/>
    <hyperlink xmlns:r="http://schemas.openxmlformats.org/officeDocument/2006/relationships" ref="A319" display="https://fbref.com/en/squads/d07537b9/Brighton-and-Hove-Albion-Stats" r:id="rId303"/>
    <hyperlink xmlns:r="http://schemas.openxmlformats.org/officeDocument/2006/relationships" ref="A320" display="https://fbref.com/en/squads/cff3d9bb/2024-2025/Chelsea-Stats" r:id="rId304"/>
    <hyperlink xmlns:r="http://schemas.openxmlformats.org/officeDocument/2006/relationships" ref="A321" display="https://fbref.com/en/squads/47c64c55/Crystal-Palace-Stats" r:id="rId305"/>
    <hyperlink xmlns:r="http://schemas.openxmlformats.org/officeDocument/2006/relationships" ref="A322" display="https://fbref.com/en/squads/d3fd31cc/Everton-Stats" r:id="rId306"/>
    <hyperlink xmlns:r="http://schemas.openxmlformats.org/officeDocument/2006/relationships" ref="A323" display="https://fbref.com/en/squads/fd962109/Fulham-Stats" r:id="rId307"/>
    <hyperlink xmlns:r="http://schemas.openxmlformats.org/officeDocument/2006/relationships" ref="A324" display="https://fbref.com/en/squads/b74092de/Ipswich-Town-Stats" r:id="rId308"/>
    <hyperlink xmlns:r="http://schemas.openxmlformats.org/officeDocument/2006/relationships" ref="A325" display="https://fbref.com/en/squads/a2d435b3/Leicester-City-Stats" r:id="rId309"/>
    <hyperlink xmlns:r="http://schemas.openxmlformats.org/officeDocument/2006/relationships" ref="A326" display="https://fbref.com/en/squads/822bd0ba/Liverpool-Stats" r:id="rId310"/>
    <hyperlink xmlns:r="http://schemas.openxmlformats.org/officeDocument/2006/relationships" ref="A327" display="https://fbref.com/en/squads/b8fd03ef/2024-2025/Manchester-City-Stats" r:id="rId311"/>
    <hyperlink xmlns:r="http://schemas.openxmlformats.org/officeDocument/2006/relationships" ref="A328" display="https://fbref.com/en/squads/19538871/Manchester-United-Stats" r:id="rId312"/>
    <hyperlink xmlns:r="http://schemas.openxmlformats.org/officeDocument/2006/relationships" ref="A329" display="https://fbref.com/en/squads/b2b47a98/Newcastle-United-Stats" r:id="rId313"/>
    <hyperlink xmlns:r="http://schemas.openxmlformats.org/officeDocument/2006/relationships" ref="A330" display="https://fbref.com/en/squads/e4a775cb/Nottingham-Forest-Stats" r:id="rId314"/>
    <hyperlink xmlns:r="http://schemas.openxmlformats.org/officeDocument/2006/relationships" ref="A331" display="https://fbref.com/en/squads/33c895d4/Southampton-Stats" r:id="rId315"/>
    <hyperlink xmlns:r="http://schemas.openxmlformats.org/officeDocument/2006/relationships" ref="A332" display="https://fbref.com/en/squads/361ca564/Tottenham-Hotspur-Stats" r:id="rId316"/>
    <hyperlink xmlns:r="http://schemas.openxmlformats.org/officeDocument/2006/relationships" ref="A333" display="https://fbref.com/en/squads/7c21e445/West-Ham-United-Stats" r:id="rId317"/>
    <hyperlink xmlns:r="http://schemas.openxmlformats.org/officeDocument/2006/relationships" ref="A334" display="https://fbref.com/en/squads/8cec06e1/Wolverhampton-Wanderers-Stats" r:id="rId318"/>
    <hyperlink xmlns:r="http://schemas.openxmlformats.org/officeDocument/2006/relationships" ref="A339" display="https://fbref.com/en/squads/18bb7c10/Arsenal-Stats" r:id="rId319"/>
    <hyperlink xmlns:r="http://schemas.openxmlformats.org/officeDocument/2006/relationships" ref="A340" display="https://fbref.com/en/squads/8602292d/Aston-Villa-Stats" r:id="rId320"/>
    <hyperlink xmlns:r="http://schemas.openxmlformats.org/officeDocument/2006/relationships" ref="A341" display="https://fbref.com/en/squads/4ba7cbea/Bournemouth-Stats" r:id="rId321"/>
    <hyperlink xmlns:r="http://schemas.openxmlformats.org/officeDocument/2006/relationships" ref="A342" display="https://fbref.com/en/squads/cd051869/Brentford-Stats" r:id="rId322"/>
    <hyperlink xmlns:r="http://schemas.openxmlformats.org/officeDocument/2006/relationships" ref="A343" display="https://fbref.com/en/squads/d07537b9/Brighton-and-Hove-Albion-Stats" r:id="rId323"/>
    <hyperlink xmlns:r="http://schemas.openxmlformats.org/officeDocument/2006/relationships" ref="A344" display="https://fbref.com/en/squads/cff3d9bb/2024-2025/Chelsea-Stats" r:id="rId324"/>
    <hyperlink xmlns:r="http://schemas.openxmlformats.org/officeDocument/2006/relationships" ref="A345" display="https://fbref.com/en/squads/47c64c55/Crystal-Palace-Stats" r:id="rId325"/>
    <hyperlink xmlns:r="http://schemas.openxmlformats.org/officeDocument/2006/relationships" ref="A346" display="https://fbref.com/en/squads/d3fd31cc/Everton-Stats" r:id="rId326"/>
    <hyperlink xmlns:r="http://schemas.openxmlformats.org/officeDocument/2006/relationships" ref="A347" display="https://fbref.com/en/squads/fd962109/Fulham-Stats" r:id="rId327"/>
    <hyperlink xmlns:r="http://schemas.openxmlformats.org/officeDocument/2006/relationships" ref="A348" display="https://fbref.com/en/squads/b74092de/Ipswich-Town-Stats" r:id="rId328"/>
    <hyperlink xmlns:r="http://schemas.openxmlformats.org/officeDocument/2006/relationships" ref="A349" display="https://fbref.com/en/squads/a2d435b3/Leicester-City-Stats" r:id="rId329"/>
    <hyperlink xmlns:r="http://schemas.openxmlformats.org/officeDocument/2006/relationships" ref="A350" display="https://fbref.com/en/squads/822bd0ba/Liverpool-Stats" r:id="rId330"/>
    <hyperlink xmlns:r="http://schemas.openxmlformats.org/officeDocument/2006/relationships" ref="A351" display="https://fbref.com/en/squads/b8fd03ef/2024-2025/Manchester-City-Stats" r:id="rId331"/>
    <hyperlink xmlns:r="http://schemas.openxmlformats.org/officeDocument/2006/relationships" ref="A352" display="https://fbref.com/en/squads/19538871/Manchester-United-Stats" r:id="rId332"/>
    <hyperlink xmlns:r="http://schemas.openxmlformats.org/officeDocument/2006/relationships" ref="A353" display="https://fbref.com/en/squads/b2b47a98/Newcastle-United-Stats" r:id="rId333"/>
    <hyperlink xmlns:r="http://schemas.openxmlformats.org/officeDocument/2006/relationships" ref="A354" display="https://fbref.com/en/squads/e4a775cb/Nottingham-Forest-Stats" r:id="rId334"/>
    <hyperlink xmlns:r="http://schemas.openxmlformats.org/officeDocument/2006/relationships" ref="A355" display="https://fbref.com/en/squads/33c895d4/Southampton-Stats" r:id="rId335"/>
    <hyperlink xmlns:r="http://schemas.openxmlformats.org/officeDocument/2006/relationships" ref="A356" display="https://fbref.com/en/squads/361ca564/Tottenham-Hotspur-Stats" r:id="rId336"/>
    <hyperlink xmlns:r="http://schemas.openxmlformats.org/officeDocument/2006/relationships" ref="A357" display="https://fbref.com/en/squads/7c21e445/West-Ham-United-Stats" r:id="rId337"/>
    <hyperlink xmlns:r="http://schemas.openxmlformats.org/officeDocument/2006/relationships" ref="A358" display="https://fbref.com/en/squads/8cec06e1/Wolverhampton-Wanderers-Stats" r:id="rId338"/>
    <hyperlink xmlns:r="http://schemas.openxmlformats.org/officeDocument/2006/relationships" ref="A363" display="https://fbref.com/en/squads/18bb7c10/Arsenal-Stats" r:id="rId339"/>
    <hyperlink xmlns:r="http://schemas.openxmlformats.org/officeDocument/2006/relationships" ref="A364" display="https://fbref.com/en/squads/8602292d/Aston-Villa-Stats" r:id="rId340"/>
    <hyperlink xmlns:r="http://schemas.openxmlformats.org/officeDocument/2006/relationships" ref="A365" display="https://fbref.com/en/squads/4ba7cbea/Bournemouth-Stats" r:id="rId341"/>
    <hyperlink xmlns:r="http://schemas.openxmlformats.org/officeDocument/2006/relationships" ref="A366" display="https://fbref.com/en/squads/cd051869/Brentford-Stats" r:id="rId342"/>
    <hyperlink xmlns:r="http://schemas.openxmlformats.org/officeDocument/2006/relationships" ref="A367" display="https://fbref.com/en/squads/d07537b9/Brighton-and-Hove-Albion-Stats" r:id="rId343"/>
    <hyperlink xmlns:r="http://schemas.openxmlformats.org/officeDocument/2006/relationships" ref="A368" display="https://fbref.com/en/squads/cff3d9bb/2024-2025/Chelsea-Stats" r:id="rId344"/>
    <hyperlink xmlns:r="http://schemas.openxmlformats.org/officeDocument/2006/relationships" ref="A369" display="https://fbref.com/en/squads/47c64c55/Crystal-Palace-Stats" r:id="rId345"/>
    <hyperlink xmlns:r="http://schemas.openxmlformats.org/officeDocument/2006/relationships" ref="A370" display="https://fbref.com/en/squads/d3fd31cc/Everton-Stats" r:id="rId346"/>
    <hyperlink xmlns:r="http://schemas.openxmlformats.org/officeDocument/2006/relationships" ref="A371" display="https://fbref.com/en/squads/fd962109/Fulham-Stats" r:id="rId347"/>
    <hyperlink xmlns:r="http://schemas.openxmlformats.org/officeDocument/2006/relationships" ref="A372" display="https://fbref.com/en/squads/b74092de/Ipswich-Town-Stats" r:id="rId348"/>
    <hyperlink xmlns:r="http://schemas.openxmlformats.org/officeDocument/2006/relationships" ref="A373" display="https://fbref.com/en/squads/a2d435b3/Leicester-City-Stats" r:id="rId349"/>
    <hyperlink xmlns:r="http://schemas.openxmlformats.org/officeDocument/2006/relationships" ref="A374" display="https://fbref.com/en/squads/822bd0ba/Liverpool-Stats" r:id="rId350"/>
    <hyperlink xmlns:r="http://schemas.openxmlformats.org/officeDocument/2006/relationships" ref="A375" display="https://fbref.com/en/squads/b8fd03ef/2024-2025/Manchester-City-Stats" r:id="rId351"/>
    <hyperlink xmlns:r="http://schemas.openxmlformats.org/officeDocument/2006/relationships" ref="A376" display="https://fbref.com/en/squads/19538871/Manchester-United-Stats" r:id="rId352"/>
    <hyperlink xmlns:r="http://schemas.openxmlformats.org/officeDocument/2006/relationships" ref="A377" display="https://fbref.com/en/squads/b2b47a98/Newcastle-United-Stats" r:id="rId353"/>
    <hyperlink xmlns:r="http://schemas.openxmlformats.org/officeDocument/2006/relationships" ref="A378" display="https://fbref.com/en/squads/e4a775cb/Nottingham-Forest-Stats" r:id="rId354"/>
    <hyperlink xmlns:r="http://schemas.openxmlformats.org/officeDocument/2006/relationships" ref="A379" display="https://fbref.com/en/squads/33c895d4/Southampton-Stats" r:id="rId355"/>
    <hyperlink xmlns:r="http://schemas.openxmlformats.org/officeDocument/2006/relationships" ref="A380" display="https://fbref.com/en/squads/361ca564/Tottenham-Hotspur-Stats" r:id="rId356"/>
    <hyperlink xmlns:r="http://schemas.openxmlformats.org/officeDocument/2006/relationships" ref="A381" display="https://fbref.com/en/squads/7c21e445/West-Ham-United-Stats" r:id="rId357"/>
    <hyperlink xmlns:r="http://schemas.openxmlformats.org/officeDocument/2006/relationships" ref="A382" display="https://fbref.com/en/squads/8cec06e1/Wolverhampton-Wanderers-Stats" r:id="rId358"/>
    <hyperlink xmlns:r="http://schemas.openxmlformats.org/officeDocument/2006/relationships" ref="A387" display="https://fbref.com/en/squads/18bb7c10/Arsenal-Stats" r:id="rId359"/>
    <hyperlink xmlns:r="http://schemas.openxmlformats.org/officeDocument/2006/relationships" ref="A388" display="https://fbref.com/en/squads/8602292d/Aston-Villa-Stats" r:id="rId360"/>
    <hyperlink xmlns:r="http://schemas.openxmlformats.org/officeDocument/2006/relationships" ref="A389" display="https://fbref.com/en/squads/4ba7cbea/Bournemouth-Stats" r:id="rId361"/>
    <hyperlink xmlns:r="http://schemas.openxmlformats.org/officeDocument/2006/relationships" ref="A390" display="https://fbref.com/en/squads/cd051869/Brentford-Stats" r:id="rId362"/>
    <hyperlink xmlns:r="http://schemas.openxmlformats.org/officeDocument/2006/relationships" ref="A391" display="https://fbref.com/en/squads/d07537b9/Brighton-and-Hove-Albion-Stats" r:id="rId363"/>
    <hyperlink xmlns:r="http://schemas.openxmlformats.org/officeDocument/2006/relationships" ref="A392" display="https://fbref.com/en/squads/cff3d9bb/2024-2025/Chelsea-Stats" r:id="rId364"/>
    <hyperlink xmlns:r="http://schemas.openxmlformats.org/officeDocument/2006/relationships" ref="A393" display="https://fbref.com/en/squads/47c64c55/Crystal-Palace-Stats" r:id="rId365"/>
    <hyperlink xmlns:r="http://schemas.openxmlformats.org/officeDocument/2006/relationships" ref="A394" display="https://fbref.com/en/squads/d3fd31cc/Everton-Stats" r:id="rId366"/>
    <hyperlink xmlns:r="http://schemas.openxmlformats.org/officeDocument/2006/relationships" ref="A395" display="https://fbref.com/en/squads/fd962109/Fulham-Stats" r:id="rId367"/>
    <hyperlink xmlns:r="http://schemas.openxmlformats.org/officeDocument/2006/relationships" ref="A396" display="https://fbref.com/en/squads/b74092de/Ipswich-Town-Stats" r:id="rId368"/>
    <hyperlink xmlns:r="http://schemas.openxmlformats.org/officeDocument/2006/relationships" ref="A397" display="https://fbref.com/en/squads/a2d435b3/Leicester-City-Stats" r:id="rId369"/>
    <hyperlink xmlns:r="http://schemas.openxmlformats.org/officeDocument/2006/relationships" ref="A398" display="https://fbref.com/en/squads/822bd0ba/Liverpool-Stats" r:id="rId370"/>
    <hyperlink xmlns:r="http://schemas.openxmlformats.org/officeDocument/2006/relationships" ref="A399" display="https://fbref.com/en/squads/b8fd03ef/2024-2025/Manchester-City-Stats" r:id="rId371"/>
    <hyperlink xmlns:r="http://schemas.openxmlformats.org/officeDocument/2006/relationships" ref="A400" display="https://fbref.com/en/squads/19538871/Manchester-United-Stats" r:id="rId372"/>
    <hyperlink xmlns:r="http://schemas.openxmlformats.org/officeDocument/2006/relationships" ref="A401" display="https://fbref.com/en/squads/b2b47a98/Newcastle-United-Stats" r:id="rId373"/>
    <hyperlink xmlns:r="http://schemas.openxmlformats.org/officeDocument/2006/relationships" ref="A402" display="https://fbref.com/en/squads/e4a775cb/Nottingham-Forest-Stats" r:id="rId374"/>
    <hyperlink xmlns:r="http://schemas.openxmlformats.org/officeDocument/2006/relationships" ref="A403" display="https://fbref.com/en/squads/33c895d4/Southampton-Stats" r:id="rId375"/>
    <hyperlink xmlns:r="http://schemas.openxmlformats.org/officeDocument/2006/relationships" ref="A404" display="https://fbref.com/en/squads/361ca564/Tottenham-Hotspur-Stats" r:id="rId376"/>
    <hyperlink xmlns:r="http://schemas.openxmlformats.org/officeDocument/2006/relationships" ref="A405" display="https://fbref.com/en/squads/7c21e445/West-Ham-United-Stats" r:id="rId377"/>
    <hyperlink xmlns:r="http://schemas.openxmlformats.org/officeDocument/2006/relationships" ref="A406" display="https://fbref.com/en/squads/8cec06e1/Wolverhampton-Wanderers-Stats" r:id="rId378"/>
    <hyperlink xmlns:r="http://schemas.openxmlformats.org/officeDocument/2006/relationships" ref="A411" display="https://fbref.com/en/squads/18bb7c10/Arsenal-Stats" r:id="rId379"/>
    <hyperlink xmlns:r="http://schemas.openxmlformats.org/officeDocument/2006/relationships" ref="A412" display="https://fbref.com/en/squads/8602292d/Aston-Villa-Stats" r:id="rId380"/>
    <hyperlink xmlns:r="http://schemas.openxmlformats.org/officeDocument/2006/relationships" ref="A413" display="https://fbref.com/en/squads/4ba7cbea/Bournemouth-Stats" r:id="rId381"/>
    <hyperlink xmlns:r="http://schemas.openxmlformats.org/officeDocument/2006/relationships" ref="A414" display="https://fbref.com/en/squads/cd051869/Brentford-Stats" r:id="rId382"/>
    <hyperlink xmlns:r="http://schemas.openxmlformats.org/officeDocument/2006/relationships" ref="A415" display="https://fbref.com/en/squads/d07537b9/Brighton-and-Hove-Albion-Stats" r:id="rId383"/>
    <hyperlink xmlns:r="http://schemas.openxmlformats.org/officeDocument/2006/relationships" ref="A416" display="https://fbref.com/en/squads/cff3d9bb/2024-2025/Chelsea-Stats" r:id="rId384"/>
    <hyperlink xmlns:r="http://schemas.openxmlformats.org/officeDocument/2006/relationships" ref="A417" display="https://fbref.com/en/squads/47c64c55/Crystal-Palace-Stats" r:id="rId385"/>
    <hyperlink xmlns:r="http://schemas.openxmlformats.org/officeDocument/2006/relationships" ref="A418" display="https://fbref.com/en/squads/d3fd31cc/Everton-Stats" r:id="rId386"/>
    <hyperlink xmlns:r="http://schemas.openxmlformats.org/officeDocument/2006/relationships" ref="A419" display="https://fbref.com/en/squads/fd962109/Fulham-Stats" r:id="rId387"/>
    <hyperlink xmlns:r="http://schemas.openxmlformats.org/officeDocument/2006/relationships" ref="A420" display="https://fbref.com/en/squads/b74092de/Ipswich-Town-Stats" r:id="rId388"/>
    <hyperlink xmlns:r="http://schemas.openxmlformats.org/officeDocument/2006/relationships" ref="A421" display="https://fbref.com/en/squads/a2d435b3/Leicester-City-Stats" r:id="rId389"/>
    <hyperlink xmlns:r="http://schemas.openxmlformats.org/officeDocument/2006/relationships" ref="A422" display="https://fbref.com/en/squads/822bd0ba/Liverpool-Stats" r:id="rId390"/>
    <hyperlink xmlns:r="http://schemas.openxmlformats.org/officeDocument/2006/relationships" ref="A423" display="https://fbref.com/en/squads/b8fd03ef/2024-2025/Manchester-City-Stats" r:id="rId391"/>
    <hyperlink xmlns:r="http://schemas.openxmlformats.org/officeDocument/2006/relationships" ref="A424" display="https://fbref.com/en/squads/19538871/Manchester-United-Stats" r:id="rId392"/>
    <hyperlink xmlns:r="http://schemas.openxmlformats.org/officeDocument/2006/relationships" ref="A425" display="https://fbref.com/en/squads/b2b47a98/Newcastle-United-Stats" r:id="rId393"/>
    <hyperlink xmlns:r="http://schemas.openxmlformats.org/officeDocument/2006/relationships" ref="A426" display="https://fbref.com/en/squads/e4a775cb/Nottingham-Forest-Stats" r:id="rId394"/>
    <hyperlink xmlns:r="http://schemas.openxmlformats.org/officeDocument/2006/relationships" ref="A427" display="https://fbref.com/en/squads/33c895d4/Southampton-Stats" r:id="rId395"/>
    <hyperlink xmlns:r="http://schemas.openxmlformats.org/officeDocument/2006/relationships" ref="A428" display="https://fbref.com/en/squads/361ca564/Tottenham-Hotspur-Stats" r:id="rId396"/>
    <hyperlink xmlns:r="http://schemas.openxmlformats.org/officeDocument/2006/relationships" ref="A429" display="https://fbref.com/en/squads/7c21e445/West-Ham-United-Stats" r:id="rId397"/>
    <hyperlink xmlns:r="http://schemas.openxmlformats.org/officeDocument/2006/relationships" ref="A430" display="https://fbref.com/en/squads/8cec06e1/Wolverhampton-Wanderers-Stats" r:id="rId398"/>
    <hyperlink xmlns:r="http://schemas.openxmlformats.org/officeDocument/2006/relationships" ref="A435" display="https://fbref.com/en/squads/18bb7c10/Arsenal-Stats" r:id="rId399"/>
    <hyperlink xmlns:r="http://schemas.openxmlformats.org/officeDocument/2006/relationships" ref="A436" display="https://fbref.com/en/squads/8602292d/Aston-Villa-Stats" r:id="rId400"/>
    <hyperlink xmlns:r="http://schemas.openxmlformats.org/officeDocument/2006/relationships" ref="A437" display="https://fbref.com/en/squads/4ba7cbea/Bournemouth-Stats" r:id="rId401"/>
    <hyperlink xmlns:r="http://schemas.openxmlformats.org/officeDocument/2006/relationships" ref="A438" display="https://fbref.com/en/squads/cd051869/Brentford-Stats" r:id="rId402"/>
    <hyperlink xmlns:r="http://schemas.openxmlformats.org/officeDocument/2006/relationships" ref="A439" display="https://fbref.com/en/squads/d07537b9/Brighton-and-Hove-Albion-Stats" r:id="rId403"/>
    <hyperlink xmlns:r="http://schemas.openxmlformats.org/officeDocument/2006/relationships" ref="A440" display="https://fbref.com/en/squads/cff3d9bb/2024-2025/Chelsea-Stats" r:id="rId404"/>
    <hyperlink xmlns:r="http://schemas.openxmlformats.org/officeDocument/2006/relationships" ref="A441" display="https://fbref.com/en/squads/47c64c55/Crystal-Palace-Stats" r:id="rId405"/>
    <hyperlink xmlns:r="http://schemas.openxmlformats.org/officeDocument/2006/relationships" ref="A442" display="https://fbref.com/en/squads/d3fd31cc/Everton-Stats" r:id="rId406"/>
    <hyperlink xmlns:r="http://schemas.openxmlformats.org/officeDocument/2006/relationships" ref="A443" display="https://fbref.com/en/squads/fd962109/Fulham-Stats" r:id="rId407"/>
    <hyperlink xmlns:r="http://schemas.openxmlformats.org/officeDocument/2006/relationships" ref="A444" display="https://fbref.com/en/squads/b74092de/Ipswich-Town-Stats" r:id="rId408"/>
    <hyperlink xmlns:r="http://schemas.openxmlformats.org/officeDocument/2006/relationships" ref="A445" display="https://fbref.com/en/squads/a2d435b3/Leicester-City-Stats" r:id="rId409"/>
    <hyperlink xmlns:r="http://schemas.openxmlformats.org/officeDocument/2006/relationships" ref="A446" display="https://fbref.com/en/squads/822bd0ba/Liverpool-Stats" r:id="rId410"/>
    <hyperlink xmlns:r="http://schemas.openxmlformats.org/officeDocument/2006/relationships" ref="A447" display="https://fbref.com/en/squads/b8fd03ef/2024-2025/Manchester-City-Stats" r:id="rId411"/>
    <hyperlink xmlns:r="http://schemas.openxmlformats.org/officeDocument/2006/relationships" ref="A448" display="https://fbref.com/en/squads/19538871/Manchester-United-Stats" r:id="rId412"/>
    <hyperlink xmlns:r="http://schemas.openxmlformats.org/officeDocument/2006/relationships" ref="A449" display="https://fbref.com/en/squads/b2b47a98/Newcastle-United-Stats" r:id="rId413"/>
    <hyperlink xmlns:r="http://schemas.openxmlformats.org/officeDocument/2006/relationships" ref="A450" display="https://fbref.com/en/squads/e4a775cb/Nottingham-Forest-Stats" r:id="rId414"/>
    <hyperlink xmlns:r="http://schemas.openxmlformats.org/officeDocument/2006/relationships" ref="A451" display="https://fbref.com/en/squads/33c895d4/Southampton-Stats" r:id="rId415"/>
    <hyperlink xmlns:r="http://schemas.openxmlformats.org/officeDocument/2006/relationships" ref="A452" display="https://fbref.com/en/squads/361ca564/Tottenham-Hotspur-Stats" r:id="rId416"/>
    <hyperlink xmlns:r="http://schemas.openxmlformats.org/officeDocument/2006/relationships" ref="A453" display="https://fbref.com/en/squads/7c21e445/West-Ham-United-Stats" r:id="rId417"/>
    <hyperlink xmlns:r="http://schemas.openxmlformats.org/officeDocument/2006/relationships" ref="A454" display="https://fbref.com/en/squads/8cec06e1/Wolverhampton-Wanderers-Stats" r:id="rId418"/>
    <hyperlink xmlns:r="http://schemas.openxmlformats.org/officeDocument/2006/relationships" ref="A459" display="https://fbref.com/en/squads/18bb7c10/Arsenal-Stats" r:id="rId419"/>
    <hyperlink xmlns:r="http://schemas.openxmlformats.org/officeDocument/2006/relationships" ref="A460" display="https://fbref.com/en/squads/8602292d/Aston-Villa-Stats" r:id="rId420"/>
    <hyperlink xmlns:r="http://schemas.openxmlformats.org/officeDocument/2006/relationships" ref="A461" display="https://fbref.com/en/squads/4ba7cbea/Bournemouth-Stats" r:id="rId421"/>
    <hyperlink xmlns:r="http://schemas.openxmlformats.org/officeDocument/2006/relationships" ref="A462" display="https://fbref.com/en/squads/cd051869/Brentford-Stats" r:id="rId422"/>
    <hyperlink xmlns:r="http://schemas.openxmlformats.org/officeDocument/2006/relationships" ref="A463" display="https://fbref.com/en/squads/d07537b9/Brighton-and-Hove-Albion-Stats" r:id="rId423"/>
    <hyperlink xmlns:r="http://schemas.openxmlformats.org/officeDocument/2006/relationships" ref="A464" display="https://fbref.com/en/squads/cff3d9bb/2024-2025/Chelsea-Stats" r:id="rId424"/>
    <hyperlink xmlns:r="http://schemas.openxmlformats.org/officeDocument/2006/relationships" ref="A465" display="https://fbref.com/en/squads/47c64c55/Crystal-Palace-Stats" r:id="rId425"/>
    <hyperlink xmlns:r="http://schemas.openxmlformats.org/officeDocument/2006/relationships" ref="A466" display="https://fbref.com/en/squads/d3fd31cc/Everton-Stats" r:id="rId426"/>
    <hyperlink xmlns:r="http://schemas.openxmlformats.org/officeDocument/2006/relationships" ref="A467" display="https://fbref.com/en/squads/fd962109/Fulham-Stats" r:id="rId427"/>
    <hyperlink xmlns:r="http://schemas.openxmlformats.org/officeDocument/2006/relationships" ref="A468" display="https://fbref.com/en/squads/b74092de/Ipswich-Town-Stats" r:id="rId428"/>
    <hyperlink xmlns:r="http://schemas.openxmlformats.org/officeDocument/2006/relationships" ref="A469" display="https://fbref.com/en/squads/a2d435b3/Leicester-City-Stats" r:id="rId429"/>
    <hyperlink xmlns:r="http://schemas.openxmlformats.org/officeDocument/2006/relationships" ref="A470" display="https://fbref.com/en/squads/822bd0ba/Liverpool-Stats" r:id="rId430"/>
    <hyperlink xmlns:r="http://schemas.openxmlformats.org/officeDocument/2006/relationships" ref="A471" display="https://fbref.com/en/squads/b8fd03ef/2024-2025/Manchester-City-Stats" r:id="rId431"/>
    <hyperlink xmlns:r="http://schemas.openxmlformats.org/officeDocument/2006/relationships" ref="A472" display="https://fbref.com/en/squads/19538871/Manchester-United-Stats" r:id="rId432"/>
    <hyperlink xmlns:r="http://schemas.openxmlformats.org/officeDocument/2006/relationships" ref="A473" display="https://fbref.com/en/squads/b2b47a98/Newcastle-United-Stats" r:id="rId433"/>
    <hyperlink xmlns:r="http://schemas.openxmlformats.org/officeDocument/2006/relationships" ref="A474" display="https://fbref.com/en/squads/e4a775cb/Nottingham-Forest-Stats" r:id="rId434"/>
    <hyperlink xmlns:r="http://schemas.openxmlformats.org/officeDocument/2006/relationships" ref="A475" display="https://fbref.com/en/squads/33c895d4/Southampton-Stats" r:id="rId435"/>
    <hyperlink xmlns:r="http://schemas.openxmlformats.org/officeDocument/2006/relationships" ref="A476" display="https://fbref.com/en/squads/361ca564/Tottenham-Hotspur-Stats" r:id="rId436"/>
    <hyperlink xmlns:r="http://schemas.openxmlformats.org/officeDocument/2006/relationships" ref="A477" display="https://fbref.com/en/squads/7c21e445/West-Ham-United-Stats" r:id="rId437"/>
    <hyperlink xmlns:r="http://schemas.openxmlformats.org/officeDocument/2006/relationships" ref="A478" display="https://fbref.com/en/squads/8cec06e1/Wolverhampton-Wanderers-Stats" r:id="rId438"/>
    <hyperlink xmlns:r="http://schemas.openxmlformats.org/officeDocument/2006/relationships" ref="A483" display="https://fbref.com/en/squads/18bb7c10/Arsenal-Stats" r:id="rId439"/>
    <hyperlink xmlns:r="http://schemas.openxmlformats.org/officeDocument/2006/relationships" ref="A484" display="https://fbref.com/en/squads/8602292d/Aston-Villa-Stats" r:id="rId440"/>
    <hyperlink xmlns:r="http://schemas.openxmlformats.org/officeDocument/2006/relationships" ref="A485" display="https://fbref.com/en/squads/4ba7cbea/Bournemouth-Stats" r:id="rId441"/>
    <hyperlink xmlns:r="http://schemas.openxmlformats.org/officeDocument/2006/relationships" ref="A486" display="https://fbref.com/en/squads/cd051869/Brentford-Stats" r:id="rId442"/>
    <hyperlink xmlns:r="http://schemas.openxmlformats.org/officeDocument/2006/relationships" ref="A487" display="https://fbref.com/en/squads/d07537b9/Brighton-and-Hove-Albion-Stats" r:id="rId443"/>
    <hyperlink xmlns:r="http://schemas.openxmlformats.org/officeDocument/2006/relationships" ref="A488" display="https://fbref.com/en/squads/cff3d9bb/2024-2025/Chelsea-Stats" r:id="rId444"/>
    <hyperlink xmlns:r="http://schemas.openxmlformats.org/officeDocument/2006/relationships" ref="A489" display="https://fbref.com/en/squads/47c64c55/Crystal-Palace-Stats" r:id="rId445"/>
    <hyperlink xmlns:r="http://schemas.openxmlformats.org/officeDocument/2006/relationships" ref="A490" display="https://fbref.com/en/squads/d3fd31cc/Everton-Stats" r:id="rId446"/>
    <hyperlink xmlns:r="http://schemas.openxmlformats.org/officeDocument/2006/relationships" ref="A491" display="https://fbref.com/en/squads/fd962109/Fulham-Stats" r:id="rId447"/>
    <hyperlink xmlns:r="http://schemas.openxmlformats.org/officeDocument/2006/relationships" ref="A492" display="https://fbref.com/en/squads/b74092de/Ipswich-Town-Stats" r:id="rId448"/>
    <hyperlink xmlns:r="http://schemas.openxmlformats.org/officeDocument/2006/relationships" ref="A493" display="https://fbref.com/en/squads/a2d435b3/Leicester-City-Stats" r:id="rId449"/>
    <hyperlink xmlns:r="http://schemas.openxmlformats.org/officeDocument/2006/relationships" ref="A494" display="https://fbref.com/en/squads/822bd0ba/Liverpool-Stats" r:id="rId450"/>
    <hyperlink xmlns:r="http://schemas.openxmlformats.org/officeDocument/2006/relationships" ref="A495" display="https://fbref.com/en/squads/b8fd03ef/2024-2025/Manchester-City-Stats" r:id="rId451"/>
    <hyperlink xmlns:r="http://schemas.openxmlformats.org/officeDocument/2006/relationships" ref="A496" display="https://fbref.com/en/squads/19538871/Manchester-United-Stats" r:id="rId452"/>
    <hyperlink xmlns:r="http://schemas.openxmlformats.org/officeDocument/2006/relationships" ref="A497" display="https://fbref.com/en/squads/b2b47a98/Newcastle-United-Stats" r:id="rId453"/>
    <hyperlink xmlns:r="http://schemas.openxmlformats.org/officeDocument/2006/relationships" ref="A498" display="https://fbref.com/en/squads/e4a775cb/Nottingham-Forest-Stats" r:id="rId454"/>
    <hyperlink xmlns:r="http://schemas.openxmlformats.org/officeDocument/2006/relationships" ref="A499" display="https://fbref.com/en/squads/33c895d4/Southampton-Stats" r:id="rId455"/>
    <hyperlink xmlns:r="http://schemas.openxmlformats.org/officeDocument/2006/relationships" ref="A500" display="https://fbref.com/en/squads/361ca564/Tottenham-Hotspur-Stats" r:id="rId456"/>
    <hyperlink xmlns:r="http://schemas.openxmlformats.org/officeDocument/2006/relationships" ref="A501" display="https://fbref.com/en/squads/7c21e445/West-Ham-United-Stats" r:id="rId457"/>
    <hyperlink xmlns:r="http://schemas.openxmlformats.org/officeDocument/2006/relationships" ref="A502" display="https://fbref.com/en/squads/8cec06e1/Wolverhampton-Wanderers-Stats" r:id="rId458"/>
    <hyperlink xmlns:r="http://schemas.openxmlformats.org/officeDocument/2006/relationships" ref="A507" display="https://fbref.com/en/squads/18bb7c10/Arsenal-Stats" r:id="rId459"/>
    <hyperlink xmlns:r="http://schemas.openxmlformats.org/officeDocument/2006/relationships" ref="A508" display="https://fbref.com/en/squads/8602292d/Aston-Villa-Stats" r:id="rId460"/>
    <hyperlink xmlns:r="http://schemas.openxmlformats.org/officeDocument/2006/relationships" ref="A509" display="https://fbref.com/en/squads/4ba7cbea/Bournemouth-Stats" r:id="rId461"/>
    <hyperlink xmlns:r="http://schemas.openxmlformats.org/officeDocument/2006/relationships" ref="A510" display="https://fbref.com/en/squads/cd051869/Brentford-Stats" r:id="rId462"/>
    <hyperlink xmlns:r="http://schemas.openxmlformats.org/officeDocument/2006/relationships" ref="A511" display="https://fbref.com/en/squads/d07537b9/Brighton-and-Hove-Albion-Stats" r:id="rId463"/>
    <hyperlink xmlns:r="http://schemas.openxmlformats.org/officeDocument/2006/relationships" ref="A512" display="https://fbref.com/en/squads/cff3d9bb/2024-2025/Chelsea-Stats" r:id="rId464"/>
    <hyperlink xmlns:r="http://schemas.openxmlformats.org/officeDocument/2006/relationships" ref="A513" display="https://fbref.com/en/squads/47c64c55/Crystal-Palace-Stats" r:id="rId465"/>
    <hyperlink xmlns:r="http://schemas.openxmlformats.org/officeDocument/2006/relationships" ref="A514" display="https://fbref.com/en/squads/d3fd31cc/Everton-Stats" r:id="rId466"/>
    <hyperlink xmlns:r="http://schemas.openxmlformats.org/officeDocument/2006/relationships" ref="A515" display="https://fbref.com/en/squads/fd962109/Fulham-Stats" r:id="rId467"/>
    <hyperlink xmlns:r="http://schemas.openxmlformats.org/officeDocument/2006/relationships" ref="A516" display="https://fbref.com/en/squads/b74092de/Ipswich-Town-Stats" r:id="rId468"/>
    <hyperlink xmlns:r="http://schemas.openxmlformats.org/officeDocument/2006/relationships" ref="A517" display="https://fbref.com/en/squads/a2d435b3/Leicester-City-Stats" r:id="rId469"/>
    <hyperlink xmlns:r="http://schemas.openxmlformats.org/officeDocument/2006/relationships" ref="A518" display="https://fbref.com/en/squads/822bd0ba/Liverpool-Stats" r:id="rId470"/>
    <hyperlink xmlns:r="http://schemas.openxmlformats.org/officeDocument/2006/relationships" ref="A519" display="https://fbref.com/en/squads/b8fd03ef/2024-2025/Manchester-City-Stats" r:id="rId471"/>
    <hyperlink xmlns:r="http://schemas.openxmlformats.org/officeDocument/2006/relationships" ref="A520" display="https://fbref.com/en/squads/19538871/Manchester-United-Stats" r:id="rId472"/>
    <hyperlink xmlns:r="http://schemas.openxmlformats.org/officeDocument/2006/relationships" ref="A521" display="https://fbref.com/en/squads/b2b47a98/Newcastle-United-Stats" r:id="rId473"/>
    <hyperlink xmlns:r="http://schemas.openxmlformats.org/officeDocument/2006/relationships" ref="A522" display="https://fbref.com/en/squads/e4a775cb/Nottingham-Forest-Stats" r:id="rId474"/>
    <hyperlink xmlns:r="http://schemas.openxmlformats.org/officeDocument/2006/relationships" ref="A523" display="https://fbref.com/en/squads/33c895d4/Southampton-Stats" r:id="rId475"/>
    <hyperlink xmlns:r="http://schemas.openxmlformats.org/officeDocument/2006/relationships" ref="A524" display="https://fbref.com/en/squads/361ca564/Tottenham-Hotspur-Stats" r:id="rId476"/>
    <hyperlink xmlns:r="http://schemas.openxmlformats.org/officeDocument/2006/relationships" ref="A525" display="https://fbref.com/en/squads/7c21e445/West-Ham-United-Stats" r:id="rId477"/>
    <hyperlink xmlns:r="http://schemas.openxmlformats.org/officeDocument/2006/relationships" ref="A526" display="https://fbref.com/en/squads/8cec06e1/Wolverhampton-Wanderers-Stats" r:id="rId478"/>
    <hyperlink xmlns:r="http://schemas.openxmlformats.org/officeDocument/2006/relationships" ref="A531" display="https://fbref.com/en/squads/18bb7c10/Arsenal-Stats" r:id="rId479"/>
    <hyperlink xmlns:r="http://schemas.openxmlformats.org/officeDocument/2006/relationships" ref="A532" display="https://fbref.com/en/squads/8602292d/Aston-Villa-Stats" r:id="rId480"/>
    <hyperlink xmlns:r="http://schemas.openxmlformats.org/officeDocument/2006/relationships" ref="A533" display="https://fbref.com/en/squads/4ba7cbea/Bournemouth-Stats" r:id="rId481"/>
    <hyperlink xmlns:r="http://schemas.openxmlformats.org/officeDocument/2006/relationships" ref="A534" display="https://fbref.com/en/squads/cd051869/Brentford-Stats" r:id="rId482"/>
    <hyperlink xmlns:r="http://schemas.openxmlformats.org/officeDocument/2006/relationships" ref="A535" display="https://fbref.com/en/squads/d07537b9/Brighton-and-Hove-Albion-Stats" r:id="rId483"/>
    <hyperlink xmlns:r="http://schemas.openxmlformats.org/officeDocument/2006/relationships" ref="A536" display="https://fbref.com/en/squads/cff3d9bb/2024-2025/Chelsea-Stats" r:id="rId484"/>
    <hyperlink xmlns:r="http://schemas.openxmlformats.org/officeDocument/2006/relationships" ref="A537" display="https://fbref.com/en/squads/47c64c55/Crystal-Palace-Stats" r:id="rId485"/>
    <hyperlink xmlns:r="http://schemas.openxmlformats.org/officeDocument/2006/relationships" ref="A538" display="https://fbref.com/en/squads/d3fd31cc/Everton-Stats" r:id="rId486"/>
    <hyperlink xmlns:r="http://schemas.openxmlformats.org/officeDocument/2006/relationships" ref="A539" display="https://fbref.com/en/squads/fd962109/Fulham-Stats" r:id="rId487"/>
    <hyperlink xmlns:r="http://schemas.openxmlformats.org/officeDocument/2006/relationships" ref="A540" display="https://fbref.com/en/squads/b74092de/Ipswich-Town-Stats" r:id="rId488"/>
    <hyperlink xmlns:r="http://schemas.openxmlformats.org/officeDocument/2006/relationships" ref="A541" display="https://fbref.com/en/squads/a2d435b3/Leicester-City-Stats" r:id="rId489"/>
    <hyperlink xmlns:r="http://schemas.openxmlformats.org/officeDocument/2006/relationships" ref="A542" display="https://fbref.com/en/squads/822bd0ba/Liverpool-Stats" r:id="rId490"/>
    <hyperlink xmlns:r="http://schemas.openxmlformats.org/officeDocument/2006/relationships" ref="A543" display="https://fbref.com/en/squads/b8fd03ef/2024-2025/Manchester-City-Stats" r:id="rId491"/>
    <hyperlink xmlns:r="http://schemas.openxmlformats.org/officeDocument/2006/relationships" ref="A544" display="https://fbref.com/en/squads/19538871/Manchester-United-Stats" r:id="rId492"/>
    <hyperlink xmlns:r="http://schemas.openxmlformats.org/officeDocument/2006/relationships" ref="A545" display="https://fbref.com/en/squads/b2b47a98/Newcastle-United-Stats" r:id="rId493"/>
    <hyperlink xmlns:r="http://schemas.openxmlformats.org/officeDocument/2006/relationships" ref="A546" display="https://fbref.com/en/squads/e4a775cb/Nottingham-Forest-Stats" r:id="rId494"/>
    <hyperlink xmlns:r="http://schemas.openxmlformats.org/officeDocument/2006/relationships" ref="A547" display="https://fbref.com/en/squads/33c895d4/Southampton-Stats" r:id="rId495"/>
    <hyperlink xmlns:r="http://schemas.openxmlformats.org/officeDocument/2006/relationships" ref="A548" display="https://fbref.com/en/squads/361ca564/Tottenham-Hotspur-Stats" r:id="rId496"/>
    <hyperlink xmlns:r="http://schemas.openxmlformats.org/officeDocument/2006/relationships" ref="A549" display="https://fbref.com/en/squads/7c21e445/West-Ham-United-Stats" r:id="rId497"/>
    <hyperlink xmlns:r="http://schemas.openxmlformats.org/officeDocument/2006/relationships" ref="A550" display="https://fbref.com/en/squads/8cec06e1/Wolverhampton-Wanderers-Stats" r:id="rId498"/>
    <hyperlink xmlns:r="http://schemas.openxmlformats.org/officeDocument/2006/relationships" ref="A555" display="https://fbref.com/en/squads/18bb7c10/Arsenal-Stats" r:id="rId499"/>
    <hyperlink xmlns:r="http://schemas.openxmlformats.org/officeDocument/2006/relationships" ref="A556" display="https://fbref.com/en/squads/8602292d/Aston-Villa-Stats" r:id="rId500"/>
    <hyperlink xmlns:r="http://schemas.openxmlformats.org/officeDocument/2006/relationships" ref="A557" display="https://fbref.com/en/squads/4ba7cbea/Bournemouth-Stats" r:id="rId501"/>
    <hyperlink xmlns:r="http://schemas.openxmlformats.org/officeDocument/2006/relationships" ref="A558" display="https://fbref.com/en/squads/cd051869/Brentford-Stats" r:id="rId502"/>
    <hyperlink xmlns:r="http://schemas.openxmlformats.org/officeDocument/2006/relationships" ref="A559" display="https://fbref.com/en/squads/d07537b9/Brighton-and-Hove-Albion-Stats" r:id="rId503"/>
    <hyperlink xmlns:r="http://schemas.openxmlformats.org/officeDocument/2006/relationships" ref="A560" display="https://fbref.com/en/squads/cff3d9bb/2024-2025/Chelsea-Stats" r:id="rId504"/>
    <hyperlink xmlns:r="http://schemas.openxmlformats.org/officeDocument/2006/relationships" ref="A561" display="https://fbref.com/en/squads/47c64c55/Crystal-Palace-Stats" r:id="rId505"/>
    <hyperlink xmlns:r="http://schemas.openxmlformats.org/officeDocument/2006/relationships" ref="A562" display="https://fbref.com/en/squads/d3fd31cc/Everton-Stats" r:id="rId506"/>
    <hyperlink xmlns:r="http://schemas.openxmlformats.org/officeDocument/2006/relationships" ref="A563" display="https://fbref.com/en/squads/fd962109/Fulham-Stats" r:id="rId507"/>
    <hyperlink xmlns:r="http://schemas.openxmlformats.org/officeDocument/2006/relationships" ref="A564" display="https://fbref.com/en/squads/b74092de/Ipswich-Town-Stats" r:id="rId508"/>
    <hyperlink xmlns:r="http://schemas.openxmlformats.org/officeDocument/2006/relationships" ref="A565" display="https://fbref.com/en/squads/a2d435b3/Leicester-City-Stats" r:id="rId509"/>
    <hyperlink xmlns:r="http://schemas.openxmlformats.org/officeDocument/2006/relationships" ref="A566" display="https://fbref.com/en/squads/822bd0ba/Liverpool-Stats" r:id="rId510"/>
    <hyperlink xmlns:r="http://schemas.openxmlformats.org/officeDocument/2006/relationships" ref="A567" display="https://fbref.com/en/squads/b8fd03ef/2024-2025/Manchester-City-Stats" r:id="rId511"/>
    <hyperlink xmlns:r="http://schemas.openxmlformats.org/officeDocument/2006/relationships" ref="A568" display="https://fbref.com/en/squads/19538871/Manchester-United-Stats" r:id="rId512"/>
    <hyperlink xmlns:r="http://schemas.openxmlformats.org/officeDocument/2006/relationships" ref="A569" display="https://fbref.com/en/squads/b2b47a98/Newcastle-United-Stats" r:id="rId513"/>
    <hyperlink xmlns:r="http://schemas.openxmlformats.org/officeDocument/2006/relationships" ref="A570" display="https://fbref.com/en/squads/e4a775cb/Nottingham-Forest-Stats" r:id="rId514"/>
    <hyperlink xmlns:r="http://schemas.openxmlformats.org/officeDocument/2006/relationships" ref="A571" display="https://fbref.com/en/squads/33c895d4/Southampton-Stats" r:id="rId515"/>
    <hyperlink xmlns:r="http://schemas.openxmlformats.org/officeDocument/2006/relationships" ref="A572" display="https://fbref.com/en/squads/361ca564/Tottenham-Hotspur-Stats" r:id="rId516"/>
    <hyperlink xmlns:r="http://schemas.openxmlformats.org/officeDocument/2006/relationships" ref="A573" display="https://fbref.com/en/squads/7c21e445/West-Ham-United-Stats" r:id="rId517"/>
    <hyperlink xmlns:r="http://schemas.openxmlformats.org/officeDocument/2006/relationships" ref="A574" display="https://fbref.com/en/squads/8cec06e1/Wolverhampton-Wanderers-Stats" r:id="rId518"/>
  </hyperlinks>
  <pageMargins left="0.7" right="0.7" top="0.75" bottom="0.75" header="0.3" footer="0.3"/>
  <pageSetup orientation="portrait" horizontalDpi="360" verticalDpi="360"/>
</worksheet>
</file>

<file path=xl/worksheets/sheet4.xml><?xml version="1.0" encoding="utf-8"?>
<worksheet xmlns="http://schemas.openxmlformats.org/spreadsheetml/2006/main">
  <sheetPr codeName="Sheet8">
    <outlinePr summaryBelow="1" summaryRight="1"/>
    <pageSetUpPr/>
  </sheetPr>
  <dimension ref="B4:G69"/>
  <sheetViews>
    <sheetView workbookViewId="0">
      <selection activeCell="C4" sqref="C4:C23"/>
    </sheetView>
  </sheetViews>
  <sheetFormatPr baseColWidth="8" defaultColWidth="8.875" defaultRowHeight="15.75"/>
  <cols>
    <col width="4.625" customWidth="1" style="43" min="1" max="1"/>
    <col width="17.625" customWidth="1" style="43" min="2" max="2"/>
    <col width="13.125" customWidth="1" style="43" min="6" max="7"/>
  </cols>
  <sheetData>
    <row r="4">
      <c r="B4" t="inlineStr">
        <is>
          <t>Arsenal</t>
        </is>
      </c>
      <c r="C4">
        <f>IF(B4&lt;&gt;"",VLOOKUP(B4,$F$4:$G$28,2,0),"")</f>
        <v/>
      </c>
      <c r="F4" t="inlineStr">
        <is>
          <t>Arsenal</t>
        </is>
      </c>
      <c r="G4" t="inlineStr">
        <is>
          <t>ARS</t>
        </is>
      </c>
    </row>
    <row r="5">
      <c r="B5" t="inlineStr">
        <is>
          <t>Aston Villa</t>
        </is>
      </c>
      <c r="C5">
        <f>IF(B5&lt;&gt;"",VLOOKUP(B5,$F$4:$G$28,2,0),"")</f>
        <v/>
      </c>
      <c r="F5" t="inlineStr">
        <is>
          <t>Aston Villa</t>
        </is>
      </c>
      <c r="G5" t="inlineStr">
        <is>
          <t>AVL</t>
        </is>
      </c>
    </row>
    <row r="6">
      <c r="B6" t="inlineStr">
        <is>
          <t>Bournemouth</t>
        </is>
      </c>
      <c r="C6">
        <f>IF(B6&lt;&gt;"",VLOOKUP(B6,$F$4:$G$28,2,0),"")</f>
        <v/>
      </c>
      <c r="F6" t="inlineStr">
        <is>
          <t>Brighton</t>
        </is>
      </c>
      <c r="G6" t="inlineStr">
        <is>
          <t>BHA</t>
        </is>
      </c>
    </row>
    <row r="7">
      <c r="B7" t="inlineStr">
        <is>
          <t>Brentford</t>
        </is>
      </c>
      <c r="C7">
        <f>IF(B7&lt;&gt;"",VLOOKUP(B7,$F$4:$G$28,2,0),"")</f>
        <v/>
      </c>
      <c r="F7" t="inlineStr">
        <is>
          <t>Bournemouth</t>
        </is>
      </c>
      <c r="G7" t="inlineStr">
        <is>
          <t>BOU</t>
        </is>
      </c>
    </row>
    <row r="8">
      <c r="B8" t="inlineStr">
        <is>
          <t>Brighton</t>
        </is>
      </c>
      <c r="C8">
        <f>IF(B8&lt;&gt;"",VLOOKUP(B8,$F$4:$G$28,2,0),"")</f>
        <v/>
      </c>
      <c r="F8" t="inlineStr">
        <is>
          <t>Brentford</t>
        </is>
      </c>
      <c r="G8" t="inlineStr">
        <is>
          <t>BRE</t>
        </is>
      </c>
    </row>
    <row r="9">
      <c r="B9" t="inlineStr">
        <is>
          <t>Burnley</t>
        </is>
      </c>
      <c r="C9">
        <f>IF(B9&lt;&gt;"",VLOOKUP(B9,$F$4:$G$28,2,0),"")</f>
        <v/>
      </c>
      <c r="F9" t="inlineStr">
        <is>
          <t>Burnley</t>
        </is>
      </c>
      <c r="G9" t="inlineStr">
        <is>
          <t>BUR</t>
        </is>
      </c>
    </row>
    <row r="10">
      <c r="B10" t="inlineStr">
        <is>
          <t>Chelsea</t>
        </is>
      </c>
      <c r="C10">
        <f>IF(B10&lt;&gt;"",VLOOKUP(B10,$F$4:$G$28,2,0),"")</f>
        <v/>
      </c>
      <c r="F10" t="inlineStr">
        <is>
          <t>Chelsea</t>
        </is>
      </c>
      <c r="G10" t="inlineStr">
        <is>
          <t>CHE</t>
        </is>
      </c>
    </row>
    <row r="11">
      <c r="B11" t="inlineStr">
        <is>
          <t>Crystal Palace</t>
        </is>
      </c>
      <c r="C11">
        <f>IF(B11&lt;&gt;"",VLOOKUP(B11,$F$4:$G$28,2,0),"")</f>
        <v/>
      </c>
      <c r="F11" t="inlineStr">
        <is>
          <t>Crystal Palace</t>
        </is>
      </c>
      <c r="G11" t="inlineStr">
        <is>
          <t>CRY</t>
        </is>
      </c>
    </row>
    <row r="12">
      <c r="B12" t="inlineStr">
        <is>
          <t>Everton</t>
        </is>
      </c>
      <c r="C12">
        <f>IF(B12&lt;&gt;"",VLOOKUP(B12,$F$4:$G$28,2,0),"")</f>
        <v/>
      </c>
      <c r="F12" t="inlineStr">
        <is>
          <t>Everton</t>
        </is>
      </c>
      <c r="G12" t="inlineStr">
        <is>
          <t>EVE</t>
        </is>
      </c>
    </row>
    <row r="13">
      <c r="B13" t="inlineStr">
        <is>
          <t>Fulham</t>
        </is>
      </c>
      <c r="C13">
        <f>IF(B13&lt;&gt;"",VLOOKUP(B13,$F$4:$G$28,2,0),"")</f>
        <v/>
      </c>
      <c r="F13" t="inlineStr">
        <is>
          <t>Fulham</t>
        </is>
      </c>
      <c r="G13" t="inlineStr">
        <is>
          <t>FUL</t>
        </is>
      </c>
    </row>
    <row r="14">
      <c r="B14" t="inlineStr">
        <is>
          <t>Leeds United</t>
        </is>
      </c>
      <c r="C14">
        <f>IF(B14&lt;&gt;"",VLOOKUP(B14,$F$4:$G$28,2,0),"")</f>
        <v/>
      </c>
      <c r="F14" t="inlineStr">
        <is>
          <t>Ipswich town</t>
        </is>
      </c>
      <c r="G14" t="inlineStr">
        <is>
          <t>IPS</t>
        </is>
      </c>
    </row>
    <row r="15">
      <c r="B15" t="inlineStr">
        <is>
          <t>Liverpool</t>
        </is>
      </c>
      <c r="C15">
        <f>IF(B15&lt;&gt;"",VLOOKUP(B15,$F$4:$G$28,2,0),"")</f>
        <v/>
      </c>
      <c r="F15" t="inlineStr">
        <is>
          <t>Leeds United</t>
        </is>
      </c>
      <c r="G15" t="inlineStr">
        <is>
          <t>LEE</t>
        </is>
      </c>
    </row>
    <row r="16">
      <c r="B16" t="inlineStr">
        <is>
          <t>Manchester City</t>
        </is>
      </c>
      <c r="C16">
        <f>IF(B16&lt;&gt;"",VLOOKUP(B16,$F$4:$G$28,2,0),"")</f>
        <v/>
      </c>
      <c r="F16" t="inlineStr">
        <is>
          <t>Leicester City</t>
        </is>
      </c>
      <c r="G16" t="inlineStr">
        <is>
          <t>LEI</t>
        </is>
      </c>
    </row>
    <row r="17">
      <c r="B17" t="inlineStr">
        <is>
          <t>Manchester Utd</t>
        </is>
      </c>
      <c r="C17">
        <f>IF(B17&lt;&gt;"",VLOOKUP(B17,$F$4:$G$28,2,0),"")</f>
        <v/>
      </c>
      <c r="F17" t="inlineStr">
        <is>
          <t>Liverpool</t>
        </is>
      </c>
      <c r="G17" t="inlineStr">
        <is>
          <t>LIV</t>
        </is>
      </c>
    </row>
    <row r="18">
      <c r="B18" t="inlineStr">
        <is>
          <t>Newcastle Utd</t>
        </is>
      </c>
      <c r="C18">
        <f>IF(B18&lt;&gt;"",VLOOKUP(B18,$F$4:$G$28,2,0),"")</f>
        <v/>
      </c>
      <c r="F18" t="inlineStr">
        <is>
          <t>Luton Town</t>
        </is>
      </c>
      <c r="G18" t="inlineStr">
        <is>
          <t>LUT</t>
        </is>
      </c>
    </row>
    <row r="19">
      <c r="B19" t="inlineStr">
        <is>
          <t>Nott'ham Forest</t>
        </is>
      </c>
      <c r="C19">
        <f>IF(B19&lt;&gt;"",VLOOKUP(B19,$F$4:$G$28,2,0),"")</f>
        <v/>
      </c>
      <c r="F19" t="inlineStr">
        <is>
          <t>Manchester City</t>
        </is>
      </c>
      <c r="G19" t="inlineStr">
        <is>
          <t>MCI</t>
        </is>
      </c>
    </row>
    <row r="20">
      <c r="B20" t="inlineStr">
        <is>
          <t>Sunderland</t>
        </is>
      </c>
      <c r="C20">
        <f>IF(B20&lt;&gt;"",VLOOKUP(B20,$F$4:$G$29,2,0),"")</f>
        <v/>
      </c>
      <c r="F20" t="inlineStr">
        <is>
          <t>Manchester Utd</t>
        </is>
      </c>
      <c r="G20" t="inlineStr">
        <is>
          <t>MUN</t>
        </is>
      </c>
    </row>
    <row r="21">
      <c r="B21" t="inlineStr">
        <is>
          <t>Tottenham</t>
        </is>
      </c>
      <c r="C21">
        <f>IF(B21&lt;&gt;"",VLOOKUP(B21,$F$4:$G$28,2,0),"")</f>
        <v/>
      </c>
      <c r="F21" t="inlineStr">
        <is>
          <t>Newcastle Utd</t>
        </is>
      </c>
      <c r="G21" t="inlineStr">
        <is>
          <t>NEW</t>
        </is>
      </c>
    </row>
    <row r="22">
      <c r="B22" t="inlineStr">
        <is>
          <t>West Ham</t>
        </is>
      </c>
      <c r="C22">
        <f>IF(B22&lt;&gt;"",VLOOKUP(B22,$F$4:$G$28,2,0),"")</f>
        <v/>
      </c>
      <c r="F22" t="inlineStr">
        <is>
          <t>Nott'ham Forest</t>
        </is>
      </c>
      <c r="G22" t="inlineStr">
        <is>
          <t>NFO</t>
        </is>
      </c>
    </row>
    <row r="23">
      <c r="B23" t="inlineStr">
        <is>
          <t>Wolves</t>
        </is>
      </c>
      <c r="C23">
        <f>IF(B23&lt;&gt;"",VLOOKUP(B23,$F$4:$G$28,2,0),"")</f>
        <v/>
      </c>
      <c r="F23" t="inlineStr">
        <is>
          <t>Norwich City</t>
        </is>
      </c>
      <c r="G23" t="inlineStr">
        <is>
          <t>NOR</t>
        </is>
      </c>
    </row>
    <row r="24">
      <c r="F24" t="inlineStr">
        <is>
          <t>Sheffield Utd</t>
        </is>
      </c>
      <c r="G24" t="inlineStr">
        <is>
          <t>SHU</t>
        </is>
      </c>
    </row>
    <row r="25">
      <c r="F25" t="inlineStr">
        <is>
          <t>Southampton</t>
        </is>
      </c>
      <c r="G25" t="inlineStr">
        <is>
          <t>SOU</t>
        </is>
      </c>
    </row>
    <row r="26">
      <c r="F26" t="inlineStr">
        <is>
          <t>Tottenham</t>
        </is>
      </c>
      <c r="G26" t="inlineStr">
        <is>
          <t>TOT</t>
        </is>
      </c>
    </row>
    <row r="27">
      <c r="F27" t="inlineStr">
        <is>
          <t>West Ham</t>
        </is>
      </c>
      <c r="G27" t="inlineStr">
        <is>
          <t>WHU</t>
        </is>
      </c>
    </row>
    <row r="28">
      <c r="F28" t="inlineStr">
        <is>
          <t>Wolves</t>
        </is>
      </c>
      <c r="G28" t="inlineStr">
        <is>
          <t>WOL</t>
        </is>
      </c>
    </row>
    <row r="29">
      <c r="F29" t="inlineStr">
        <is>
          <t>Sunderland</t>
        </is>
      </c>
      <c r="G29" t="inlineStr">
        <is>
          <t>SND</t>
        </is>
      </c>
    </row>
    <row r="40">
      <c r="C40">
        <f>IF(B40&lt;&gt;"",VLOOKUP(B40,$F$4:$G$28,2,0),"")</f>
        <v/>
      </c>
    </row>
    <row r="41">
      <c r="C41">
        <f>IF(B41&lt;&gt;"",VLOOKUP(B41,$F$4:$G$28,2,0),"")</f>
        <v/>
      </c>
    </row>
    <row r="42">
      <c r="C42">
        <f>IF(B42&lt;&gt;"",VLOOKUP(B42,$F$4:$G$28,2,0),"")</f>
        <v/>
      </c>
    </row>
    <row r="43">
      <c r="C43">
        <f>IF(B43&lt;&gt;"",VLOOKUP(B43,$F$4:$G$28,2,0),"")</f>
        <v/>
      </c>
    </row>
    <row r="44">
      <c r="C44">
        <f>IF(B44&lt;&gt;"",VLOOKUP(B44,$F$4:$G$28,2,0),"")</f>
        <v/>
      </c>
    </row>
    <row r="45">
      <c r="C45">
        <f>IF(B45&lt;&gt;"",VLOOKUP(B45,$F$4:$G$28,2,0),"")</f>
        <v/>
      </c>
    </row>
    <row r="46">
      <c r="C46">
        <f>IF(B46&lt;&gt;"",VLOOKUP(B46,$F$4:$G$28,2,0),"")</f>
        <v/>
      </c>
    </row>
    <row r="47">
      <c r="C47">
        <f>IF(B47&lt;&gt;"",VLOOKUP(B47,$F$4:$G$28,2,0),"")</f>
        <v/>
      </c>
    </row>
    <row r="48">
      <c r="C48">
        <f>IF(B48&lt;&gt;"",VLOOKUP(B48,$F$4:$G$28,2,0),"")</f>
        <v/>
      </c>
    </row>
    <row r="49">
      <c r="C49">
        <f>IF(B49&lt;&gt;"",VLOOKUP(B49,$F$4:$G$28,2,0),"")</f>
        <v/>
      </c>
    </row>
    <row r="50">
      <c r="C50">
        <f>IF(B50&lt;&gt;"",VLOOKUP(B50,$F$4:$G$28,2,0),"")</f>
        <v/>
      </c>
    </row>
    <row r="51">
      <c r="C51">
        <f>IF(B51&lt;&gt;"",VLOOKUP(B51,$F$4:$G$28,2,0),"")</f>
        <v/>
      </c>
    </row>
    <row r="52">
      <c r="C52">
        <f>IF(B52&lt;&gt;"",VLOOKUP(B52,$F$4:$G$28,2,0),"")</f>
        <v/>
      </c>
    </row>
    <row r="53">
      <c r="C53">
        <f>IF(B53&lt;&gt;"",VLOOKUP(B53,$F$4:$G$28,2,0),"")</f>
        <v/>
      </c>
    </row>
    <row r="54">
      <c r="C54">
        <f>IF(B54&lt;&gt;"",VLOOKUP(B54,$F$4:$G$28,2,0),"")</f>
        <v/>
      </c>
    </row>
    <row r="55">
      <c r="C55">
        <f>IF(B55&lt;&gt;"",VLOOKUP(B55,$F$4:$G$28,2,0),"")</f>
        <v/>
      </c>
    </row>
    <row r="56">
      <c r="C56">
        <f>IF(B56&lt;&gt;"",VLOOKUP(B56,$F$4:$G$28,2,0),"")</f>
        <v/>
      </c>
    </row>
    <row r="57">
      <c r="C57">
        <f>IF(B57&lt;&gt;"",VLOOKUP(B57,$F$4:$G$28,2,0),"")</f>
        <v/>
      </c>
    </row>
    <row r="58">
      <c r="C58">
        <f>IF(B58&lt;&gt;"",VLOOKUP(B58,$F$4:$G$28,2,0),"")</f>
        <v/>
      </c>
    </row>
    <row r="59">
      <c r="C59">
        <f>IF(B59&lt;&gt;"",VLOOKUP(B59,$F$4:$G$28,2,0),"")</f>
        <v/>
      </c>
    </row>
    <row r="60">
      <c r="C60">
        <f>IF(B60&lt;&gt;"",VLOOKUP(B60,$F$4:$G$28,2,0),"")</f>
        <v/>
      </c>
    </row>
    <row r="61">
      <c r="C61">
        <f>IF(B61&lt;&gt;"",VLOOKUP(B61,$F$4:$G$28,2,0),"")</f>
        <v/>
      </c>
    </row>
    <row r="62">
      <c r="C62">
        <f>IF(B62&lt;&gt;"",VLOOKUP(B62,$F$4:$G$28,2,0),"")</f>
        <v/>
      </c>
    </row>
    <row r="63">
      <c r="C63">
        <f>IF(B63&lt;&gt;"",VLOOKUP(B63,$F$4:$G$28,2,0),"")</f>
        <v/>
      </c>
    </row>
    <row r="64">
      <c r="C64">
        <f>IF(B64&lt;&gt;"",VLOOKUP(B64,$F$4:$G$28,2,0),"")</f>
        <v/>
      </c>
    </row>
    <row r="65">
      <c r="C65">
        <f>IF(B65&lt;&gt;"",VLOOKUP(B65,$F$4:$G$28,2,0),"")</f>
        <v/>
      </c>
    </row>
    <row r="66">
      <c r="C66">
        <f>IF(B66&lt;&gt;"",VLOOKUP(B66,$F$4:$G$28,2,0),"")</f>
        <v/>
      </c>
    </row>
    <row r="67">
      <c r="C67">
        <f>IF(B67&lt;&gt;"",VLOOKUP(B67,$F$4:$G$28,2,0),"")</f>
        <v/>
      </c>
    </row>
    <row r="68">
      <c r="C68">
        <f>IF(B68&lt;&gt;"",VLOOKUP(B68,$F$4:$G$28,2,0),"")</f>
        <v/>
      </c>
    </row>
    <row r="69">
      <c r="C69">
        <f>IF(B69&lt;&gt;"",VLOOKUP(B69,$F$4:$G$28,2,0),"")</f>
        <v/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KE23"/>
  <sheetViews>
    <sheetView topLeftCell="AT1" workbookViewId="0">
      <selection activeCell="AW1" sqref="AW1"/>
    </sheetView>
  </sheetViews>
  <sheetFormatPr baseColWidth="8" defaultRowHeight="15"/>
  <cols>
    <col width="13.5" bestFit="1" customWidth="1" style="39" min="1" max="1"/>
    <col width="29.875" bestFit="1" customWidth="1" style="39" min="2" max="2"/>
    <col width="30.625" bestFit="1" customWidth="1" style="39" min="3" max="3"/>
    <col width="29.75" bestFit="1" customWidth="1" style="39" min="4" max="4"/>
    <col width="29" bestFit="1" customWidth="1" style="39" min="5" max="5"/>
    <col width="28.625" bestFit="1" customWidth="1" style="39" min="6" max="6"/>
    <col width="30.125" bestFit="1" customWidth="1" style="39" min="7" max="7"/>
    <col width="30.375" bestFit="1" customWidth="1" style="39" min="8" max="10"/>
    <col width="33.875" bestFit="1" customWidth="1" style="39" min="11" max="11"/>
    <col width="30.125" bestFit="1" customWidth="1" style="39" min="12" max="12"/>
    <col width="31.25" bestFit="1" customWidth="1" style="39" min="13" max="14"/>
    <col width="33.875" bestFit="1" customWidth="1" style="39" min="15" max="15"/>
    <col width="32.25" bestFit="1" customWidth="1" style="39" min="16" max="16"/>
    <col width="37.125" bestFit="1" customWidth="1" style="39" min="17" max="17"/>
    <col width="41" bestFit="1" customWidth="1" style="39" min="18" max="18"/>
    <col width="37.25" bestFit="1" customWidth="1" style="39" min="19" max="19"/>
    <col width="32.625" bestFit="1" customWidth="1" style="39" min="20" max="20"/>
    <col width="28.75" bestFit="1" customWidth="1" style="39" min="21" max="21"/>
    <col width="29.625" bestFit="1" customWidth="1" style="39" min="22" max="22"/>
    <col width="28.625" bestFit="1" customWidth="1" style="39" min="23" max="23"/>
    <col width="28" bestFit="1" customWidth="1" style="39" min="24" max="24"/>
    <col width="27.625" bestFit="1" customWidth="1" style="39" min="25" max="25"/>
    <col width="29" bestFit="1" customWidth="1" style="39" min="26" max="26"/>
    <col width="29.375" bestFit="1" customWidth="1" style="39" min="27" max="29"/>
    <col width="32.75" bestFit="1" customWidth="1" style="39" min="30" max="30"/>
    <col width="29" bestFit="1" customWidth="1" style="39" min="31" max="31"/>
    <col width="30.25" bestFit="1" customWidth="1" style="39" min="32" max="33"/>
    <col width="32.75" bestFit="1" customWidth="1" style="39" min="34" max="34"/>
    <col width="31" bestFit="1" customWidth="1" style="39" min="35" max="35"/>
    <col width="30.125" bestFit="1" customWidth="1" style="39" min="36" max="36"/>
    <col width="29.5" bestFit="1" customWidth="1" style="39" min="37" max="37"/>
    <col width="29" bestFit="1" customWidth="1" style="39" min="38" max="38"/>
    <col width="30.5" bestFit="1" customWidth="1" style="39" min="39" max="39"/>
    <col width="30.75" bestFit="1" customWidth="1" style="39" min="40" max="42"/>
    <col width="34.25" bestFit="1" customWidth="1" style="39" min="43" max="43"/>
    <col width="30.5" bestFit="1" customWidth="1" style="39" min="44" max="44"/>
    <col width="31.625" bestFit="1" customWidth="1" style="39" min="45" max="46"/>
    <col width="34.25" bestFit="1" customWidth="1" style="39" min="47" max="47"/>
    <col width="29.375" bestFit="1" customWidth="1" style="39" min="48" max="48"/>
    <col width="29.625" bestFit="1" customWidth="1" style="39" min="49" max="49"/>
    <col width="30.125" bestFit="1" customWidth="1" style="39" min="50" max="50"/>
    <col width="29.125" bestFit="1" customWidth="1" style="39" min="51" max="51"/>
    <col width="31" bestFit="1" customWidth="1" style="39" min="52" max="52"/>
    <col width="29.75" bestFit="1" customWidth="1" style="39" min="53" max="53"/>
    <col width="29" bestFit="1" customWidth="1" style="39" min="54" max="56"/>
    <col width="29.875" bestFit="1" customWidth="1" style="39" min="57" max="57"/>
    <col width="30.5" bestFit="1" customWidth="1" style="39" min="58" max="58"/>
    <col width="28.5" bestFit="1" customWidth="1" style="39" min="59" max="59"/>
    <col width="30.75" bestFit="1" customWidth="1" style="39" min="60" max="60"/>
    <col width="30.25" bestFit="1" customWidth="1" style="39" min="61" max="62"/>
    <col width="28.625" bestFit="1" customWidth="1" style="39" min="63" max="63"/>
    <col width="30.75" bestFit="1" customWidth="1" style="39" min="64" max="64"/>
    <col width="29.875" bestFit="1" customWidth="1" style="39" min="65" max="65"/>
    <col width="35" bestFit="1" customWidth="1" style="39" min="66" max="66"/>
    <col width="30.125" bestFit="1" customWidth="1" style="39" min="67" max="68"/>
    <col width="30.5" bestFit="1" customWidth="1" style="39" min="69" max="70"/>
    <col width="31.25" bestFit="1" customWidth="1" style="39" min="71" max="71"/>
    <col width="31.875" bestFit="1" customWidth="1" style="39" min="72" max="72"/>
    <col width="32.5" bestFit="1" customWidth="1" style="39" min="73" max="73"/>
    <col width="30.125" bestFit="1" customWidth="1" style="39" min="74" max="74"/>
    <col width="31.25" bestFit="1" customWidth="1" style="39" min="75" max="75"/>
    <col width="32.875" bestFit="1" customWidth="1" style="39" min="76" max="76"/>
    <col width="32.125" bestFit="1" customWidth="1" style="39" min="77" max="77"/>
    <col width="36.375" bestFit="1" customWidth="1" style="39" min="78" max="78"/>
    <col width="25.5" bestFit="1" customWidth="1" style="39" min="79" max="79"/>
    <col width="25.75" bestFit="1" customWidth="1" style="39" min="80" max="80"/>
    <col width="26.25" bestFit="1" customWidth="1" style="39" min="81" max="81"/>
    <col width="25.375" bestFit="1" customWidth="1" style="39" min="82" max="82"/>
    <col width="27.125" bestFit="1" customWidth="1" style="39" min="83" max="83"/>
    <col width="25.875" bestFit="1" customWidth="1" style="39" min="84" max="84"/>
    <col width="25.25" bestFit="1" customWidth="1" style="39" min="85" max="87"/>
    <col width="26" bestFit="1" customWidth="1" style="39" min="88" max="88"/>
    <col width="26.625" bestFit="1" customWidth="1" style="39" min="89" max="89"/>
    <col width="24.625" bestFit="1" customWidth="1" style="39" min="90" max="90"/>
    <col width="26.875" bestFit="1" customWidth="1" style="39" min="91" max="91"/>
    <col width="26.375" bestFit="1" customWidth="1" style="39" min="92" max="93"/>
    <col width="24.75" bestFit="1" customWidth="1" style="39" min="94" max="94"/>
    <col width="26.875" bestFit="1" customWidth="1" style="39" min="95" max="95"/>
    <col width="26" bestFit="1" customWidth="1" style="39" min="96" max="96"/>
    <col width="31.125" bestFit="1" customWidth="1" style="39" min="97" max="97"/>
    <col width="26.25" bestFit="1" customWidth="1" style="39" min="98" max="99"/>
    <col width="26.625" bestFit="1" customWidth="1" style="39" min="100" max="101"/>
    <col width="27.375" bestFit="1" customWidth="1" style="39" min="102" max="102"/>
    <col width="28" bestFit="1" customWidth="1" style="39" min="103" max="103"/>
    <col width="28.625" bestFit="1" customWidth="1" style="39" min="104" max="104"/>
    <col width="26.25" bestFit="1" customWidth="1" style="39" min="105" max="105"/>
    <col width="27.375" bestFit="1" customWidth="1" style="39" min="106" max="106"/>
    <col width="29" bestFit="1" customWidth="1" style="39" min="107" max="107"/>
    <col width="28.25" bestFit="1" customWidth="1" style="39" min="108" max="108"/>
    <col width="32.5" bestFit="1" customWidth="1" style="39" min="109" max="109"/>
    <col width="20.625" bestFit="1" customWidth="1" style="39" min="110" max="110"/>
    <col width="20.375" bestFit="1" customWidth="1" style="39" min="111" max="112"/>
    <col width="19.75" bestFit="1" customWidth="1" style="39" min="113" max="113"/>
    <col width="20.625" bestFit="1" customWidth="1" style="39" min="114" max="114"/>
    <col width="22.125" bestFit="1" customWidth="1" style="39" min="115" max="115"/>
    <col width="22.375" bestFit="1" customWidth="1" style="39" min="116" max="116"/>
    <col width="23.25" bestFit="1" customWidth="1" style="39" min="117" max="117"/>
    <col width="21.875" bestFit="1" customWidth="1" style="39" min="118" max="118"/>
    <col width="22.75" bestFit="1" customWidth="1" style="39" min="119" max="119"/>
    <col width="20.875" bestFit="1" customWidth="1" style="39" min="120" max="120"/>
    <col width="19.75" bestFit="1" customWidth="1" style="39" min="121" max="121"/>
    <col width="19.875" bestFit="1" customWidth="1" style="39" min="122" max="122"/>
    <col width="22.125" bestFit="1" customWidth="1" style="39" min="123" max="123"/>
    <col width="20" bestFit="1" customWidth="1" style="39" min="124" max="124"/>
    <col width="22.125" bestFit="1" customWidth="1" style="39" min="125" max="125"/>
    <col width="24.75" bestFit="1" customWidth="1" style="39" min="126" max="126"/>
    <col width="22" bestFit="1" customWidth="1" style="39" min="127" max="127"/>
    <col width="24.5" bestFit="1" customWidth="1" style="39" min="128" max="128"/>
    <col width="19.5" bestFit="1" customWidth="1" style="39" min="129" max="129"/>
    <col width="19.25" bestFit="1" customWidth="1" style="39" min="130" max="130"/>
    <col width="20.25" bestFit="1" customWidth="1" style="39" min="131" max="131"/>
    <col width="19.125" bestFit="1" customWidth="1" style="39" min="132" max="132"/>
    <col width="21.75" bestFit="1" customWidth="1" style="39" min="133" max="133"/>
    <col width="22.375" bestFit="1" customWidth="1" style="39" min="134" max="135"/>
    <col width="21.75" bestFit="1" customWidth="1" style="39" min="136" max="136"/>
    <col width="20.5" bestFit="1" customWidth="1" style="39" min="137" max="137"/>
    <col width="23.125" bestFit="1" customWidth="1" style="39" min="138" max="138"/>
    <col width="21.75" bestFit="1" customWidth="1" style="39" min="139" max="139"/>
    <col width="20.5" bestFit="1" customWidth="1" style="39" min="140" max="140"/>
    <col width="23.125" bestFit="1" customWidth="1" style="39" min="141" max="141"/>
    <col width="21.75" bestFit="1" customWidth="1" style="39" min="142" max="142"/>
    <col width="20.5" bestFit="1" customWidth="1" style="39" min="143" max="143"/>
    <col width="23.125" bestFit="1" customWidth="1" style="39" min="144" max="144"/>
    <col width="19.25" bestFit="1" customWidth="1" style="39" min="145" max="145"/>
    <col width="20" bestFit="1" customWidth="1" style="39" min="146" max="146"/>
    <col width="18.75" bestFit="1" customWidth="1" style="39" min="147" max="147"/>
    <col width="21.875" bestFit="1" customWidth="1" style="39" min="148" max="148"/>
    <col width="18.75" bestFit="1" customWidth="1" style="39" min="149" max="149"/>
    <col width="19.25" bestFit="1" customWidth="1" style="39" min="150" max="150"/>
    <col width="19.875" bestFit="1" customWidth="1" style="39" min="151" max="151"/>
    <col width="21.375" bestFit="1" customWidth="1" style="39" min="152" max="152"/>
    <col width="20.25" bestFit="1" customWidth="1" style="39" min="153" max="153"/>
    <col width="22.625" bestFit="1" customWidth="1" style="39" min="154" max="154"/>
    <col width="22.375" bestFit="1" customWidth="1" style="39" min="155" max="155"/>
    <col width="22.25" bestFit="1" customWidth="1" style="39" min="156" max="156"/>
    <col width="23" bestFit="1" customWidth="1" style="39" min="157" max="157"/>
    <col width="23.875" bestFit="1" customWidth="1" style="39" min="158" max="158"/>
    <col width="21.75" bestFit="1" customWidth="1" style="39" min="159" max="160"/>
    <col width="22.125" bestFit="1" customWidth="1" style="39" min="161" max="161"/>
    <col width="22.25" bestFit="1" customWidth="1" style="39" min="162" max="162"/>
    <col width="21.25" bestFit="1" customWidth="1" style="39" min="163" max="163"/>
    <col width="21.875" bestFit="1" customWidth="1" style="39" min="164" max="164"/>
    <col width="21.375" bestFit="1" customWidth="1" style="39" min="165" max="165"/>
    <col width="22.75" bestFit="1" customWidth="1" style="39" min="166" max="166"/>
    <col width="22" bestFit="1" customWidth="1" style="39" min="167" max="167"/>
    <col width="23.375" bestFit="1" customWidth="1" style="39" min="168" max="168"/>
    <col width="22.375" bestFit="1" customWidth="1" style="39" min="169" max="169"/>
    <col width="24.75" bestFit="1" customWidth="1" style="39" min="170" max="170"/>
    <col width="28.5" bestFit="1" customWidth="1" style="39" min="171" max="171"/>
    <col width="28.25" bestFit="1" customWidth="1" style="39" min="172" max="172"/>
    <col width="28" bestFit="1" customWidth="1" style="39" min="173" max="173"/>
    <col width="29.875" bestFit="1" customWidth="1" style="39" min="174" max="174"/>
    <col width="31.5" bestFit="1" customWidth="1" style="39" min="175" max="175"/>
    <col width="31.875" bestFit="1" customWidth="1" style="39" min="176" max="176"/>
    <col width="31.125" bestFit="1" customWidth="1" style="39" min="177" max="177"/>
    <col width="29.5" bestFit="1" customWidth="1" style="39" min="178" max="178"/>
    <col width="28.125" bestFit="1" customWidth="1" style="39" min="179" max="179"/>
    <col width="29.5" bestFit="1" customWidth="1" style="39" min="180" max="180"/>
    <col width="28.875" bestFit="1" customWidth="1" style="39" min="181" max="181"/>
    <col width="30.75" bestFit="1" customWidth="1" style="39" min="182" max="182"/>
    <col width="27.625" bestFit="1" customWidth="1" style="39" min="183" max="183"/>
    <col width="29.125" bestFit="1" customWidth="1" style="39" min="184" max="184"/>
    <col width="27.875" bestFit="1" customWidth="1" style="39" min="185" max="185"/>
    <col width="31.125" bestFit="1" customWidth="1" style="39" min="186" max="186"/>
    <col width="27.875" bestFit="1" customWidth="1" style="39" min="187" max="188"/>
    <col width="24.25" bestFit="1" customWidth="1" style="39" min="189" max="189"/>
    <col width="24.5" bestFit="1" customWidth="1" style="39" min="190" max="190"/>
    <col width="24.125" bestFit="1" customWidth="1" style="39" min="191" max="191"/>
    <col width="24.625" bestFit="1" customWidth="1" style="39" min="192" max="192"/>
    <col width="27.625" bestFit="1" customWidth="1" style="39" min="193" max="193"/>
    <col width="26.125" bestFit="1" customWidth="1" style="39" min="194" max="194"/>
    <col width="24" bestFit="1" customWidth="1" style="39" min="195" max="195"/>
    <col width="26" bestFit="1" customWidth="1" style="39" min="196" max="196"/>
    <col width="28.625" bestFit="1" customWidth="1" style="39" min="197" max="197"/>
    <col width="26.625" bestFit="1" customWidth="1" style="39" min="198" max="198"/>
    <col width="25.25" bestFit="1" customWidth="1" style="39" min="199" max="199"/>
    <col width="27.875" bestFit="1" customWidth="1" style="39" min="200" max="200"/>
    <col width="26.5" bestFit="1" customWidth="1" style="39" min="201" max="201"/>
    <col width="25.25" bestFit="1" customWidth="1" style="39" min="202" max="202"/>
    <col width="24.75" bestFit="1" customWidth="1" style="39" min="203" max="203"/>
    <col width="26" bestFit="1" customWidth="1" style="39" min="204" max="204"/>
    <col width="23.75" bestFit="1" customWidth="1" style="39" min="205" max="205"/>
    <col width="25.625" bestFit="1" customWidth="1" style="39" min="206" max="206"/>
    <col width="25.75" bestFit="1" customWidth="1" style="39" min="207" max="207"/>
    <col width="26.875" bestFit="1" customWidth="1" style="39" min="208" max="208"/>
    <col width="26" bestFit="1" customWidth="1" style="39" min="209" max="209"/>
    <col width="27.75" bestFit="1" customWidth="1" style="39" min="210" max="210"/>
    <col width="30" bestFit="1" customWidth="1" style="39" min="211" max="211"/>
    <col width="29.75" bestFit="1" customWidth="1" style="39" min="212" max="212"/>
    <col width="30.875" bestFit="1" customWidth="1" style="39" min="213" max="214"/>
    <col width="31.75" bestFit="1" customWidth="1" style="39" min="215" max="215"/>
    <col width="29.375" bestFit="1" customWidth="1" style="39" min="216" max="216"/>
    <col width="29.625" bestFit="1" customWidth="1" style="39" min="217" max="217"/>
    <col width="29.75" bestFit="1" customWidth="1" style="39" min="218" max="218"/>
    <col width="29.625" bestFit="1" customWidth="1" style="39" min="219" max="219"/>
    <col width="29.375" bestFit="1" customWidth="1" style="39" min="220" max="220"/>
    <col width="27.25" bestFit="1" customWidth="1" style="39" min="221" max="221"/>
    <col width="28.625" bestFit="1" customWidth="1" style="39" min="222" max="222"/>
    <col width="28" bestFit="1" customWidth="1" style="39" min="223" max="223"/>
    <col width="25.75" bestFit="1" customWidth="1" style="39" min="224" max="224"/>
    <col width="27.875" bestFit="1" customWidth="1" style="39" min="225" max="225"/>
    <col width="27" bestFit="1" customWidth="1" style="39" min="226" max="226"/>
    <col width="26.375" bestFit="1" customWidth="1" style="39" min="227" max="227"/>
    <col width="28.375" bestFit="1" customWidth="1" style="39" min="228" max="228"/>
    <col width="19.75" bestFit="1" customWidth="1" style="39" min="229" max="229"/>
    <col width="19.625" bestFit="1" customWidth="1" style="39" min="230" max="230"/>
    <col width="21.5" bestFit="1" customWidth="1" style="39" min="231" max="231"/>
    <col width="20.125" bestFit="1" customWidth="1" style="39" min="232" max="232"/>
    <col width="19.5" bestFit="1" customWidth="1" style="39" min="233" max="233"/>
    <col width="19.375" bestFit="1" customWidth="1" style="39" min="234" max="234"/>
    <col width="21.25" bestFit="1" customWidth="1" style="39" min="235" max="235"/>
    <col width="20.875" bestFit="1" customWidth="1" style="39" min="236" max="236"/>
    <col width="21.5" bestFit="1" customWidth="1" style="39" min="237" max="237"/>
    <col width="22.125" bestFit="1" customWidth="1" style="39" min="238" max="238"/>
    <col width="18.75" bestFit="1" customWidth="1" style="39" min="239" max="239"/>
    <col width="18.125" bestFit="1" customWidth="1" style="39" min="240" max="240"/>
    <col width="17.75" bestFit="1" customWidth="1" style="39" min="241" max="241"/>
    <col width="18.875" bestFit="1" customWidth="1" style="39" min="242" max="242"/>
    <col width="20.25" bestFit="1" customWidth="1" style="39" min="243" max="243"/>
    <col width="21.25" bestFit="1" customWidth="1" style="39" min="244" max="244"/>
    <col width="20.125" bestFit="1" customWidth="1" style="39" min="245" max="245"/>
    <col width="20.625" bestFit="1" customWidth="1" style="39" min="246" max="246"/>
    <col width="20.5" bestFit="1" customWidth="1" style="39" min="247" max="247"/>
    <col width="23.5" bestFit="1" customWidth="1" style="39" min="248" max="248"/>
    <col width="28.5" bestFit="1" customWidth="1" style="39" min="249" max="249"/>
    <col width="28.25" bestFit="1" customWidth="1" style="39" min="250" max="250"/>
    <col width="28.125" bestFit="1" customWidth="1" style="39" min="251" max="251"/>
    <col width="28.875" bestFit="1" customWidth="1" style="39" min="252" max="252"/>
    <col width="27.625" bestFit="1" customWidth="1" style="39" min="253" max="253"/>
    <col width="9" customWidth="1" style="39" min="254" max="254"/>
    <col width="9" customWidth="1" style="39" min="255" max="16384"/>
  </cols>
  <sheetData>
    <row r="1">
      <c r="A1" s="41" t="inlineStr">
        <is>
          <t>Squad</t>
        </is>
      </c>
      <c r="B1" s="41" t="inlineStr">
        <is>
          <t>Team_League Table_Overall_Rk</t>
        </is>
      </c>
      <c r="C1" s="41" t="inlineStr">
        <is>
          <t>Team_League Table_Overall_MP</t>
        </is>
      </c>
      <c r="D1" s="41" t="inlineStr">
        <is>
          <t>Team_League Table_Overall_W</t>
        </is>
      </c>
      <c r="E1" s="41" t="inlineStr">
        <is>
          <t>Team_League Table_Overall_D</t>
        </is>
      </c>
      <c r="F1" s="41" t="inlineStr">
        <is>
          <t>Team_League Table_Overall_L</t>
        </is>
      </c>
      <c r="G1" s="41" t="inlineStr">
        <is>
          <t>Team_League Table_Overall_GF</t>
        </is>
      </c>
      <c r="H1" s="41" t="inlineStr">
        <is>
          <t>Team_League Table_Overall_GA</t>
        </is>
      </c>
      <c r="I1" s="41" t="inlineStr">
        <is>
          <t>Team_League Table_Overall_GD</t>
        </is>
      </c>
      <c r="J1" s="41" t="inlineStr">
        <is>
          <t>Team_League Table_Overall_Pts</t>
        </is>
      </c>
      <c r="K1" s="41" t="inlineStr">
        <is>
          <t>Team_League Table_Overall_Pts/MP</t>
        </is>
      </c>
      <c r="L1" s="41" t="inlineStr">
        <is>
          <t>Team_League Table_Overall_xG</t>
        </is>
      </c>
      <c r="M1" s="41" t="inlineStr">
        <is>
          <t>Team_League Table_Overall_xGA</t>
        </is>
      </c>
      <c r="N1" s="41" t="inlineStr">
        <is>
          <t>Team_League Table_Overall_xGD</t>
        </is>
      </c>
      <c r="O1" s="41" t="inlineStr">
        <is>
          <t>Team_League Table_Overall_xGD/90</t>
        </is>
      </c>
      <c r="P1" s="41" t="inlineStr">
        <is>
          <t>Team_League Table_Overall_Last 5</t>
        </is>
      </c>
      <c r="Q1" s="41" t="inlineStr">
        <is>
          <t>Team_League Table_Overall_Attendance</t>
        </is>
      </c>
      <c r="R1" s="41" t="inlineStr">
        <is>
          <t>Team_League Table_Overall_Top Team Scorer</t>
        </is>
      </c>
      <c r="S1" s="41" t="inlineStr">
        <is>
          <t>Team_League Table_Overall_Goalkeeper</t>
        </is>
      </c>
      <c r="T1" s="41" t="inlineStr">
        <is>
          <t>Team_League Table_Overall_Notes</t>
        </is>
      </c>
      <c r="U1" s="41" t="inlineStr">
        <is>
          <t>Team_League Table_Home_Rk</t>
        </is>
      </c>
      <c r="V1" s="41" t="inlineStr">
        <is>
          <t>Team_League Table_Home_MP</t>
        </is>
      </c>
      <c r="W1" s="41" t="inlineStr">
        <is>
          <t>Team_League Table_Home_W</t>
        </is>
      </c>
      <c r="X1" s="41" t="inlineStr">
        <is>
          <t>Team_League Table_Home_D</t>
        </is>
      </c>
      <c r="Y1" s="41" t="inlineStr">
        <is>
          <t>Team_League Table_Home_L</t>
        </is>
      </c>
      <c r="Z1" s="41" t="inlineStr">
        <is>
          <t>Team_League Table_Home_GF</t>
        </is>
      </c>
      <c r="AA1" s="41" t="inlineStr">
        <is>
          <t>Team_League Table_Home_GA</t>
        </is>
      </c>
      <c r="AB1" s="41" t="inlineStr">
        <is>
          <t>Team_League Table_Home_GD</t>
        </is>
      </c>
      <c r="AC1" s="41" t="inlineStr">
        <is>
          <t>Team_League Table_Home_Pts</t>
        </is>
      </c>
      <c r="AD1" s="41" t="inlineStr">
        <is>
          <t>Team_League Table_Home_Pts/MP</t>
        </is>
      </c>
      <c r="AE1" s="41" t="inlineStr">
        <is>
          <t>Team_League Table_Home_xG</t>
        </is>
      </c>
      <c r="AF1" s="41" t="inlineStr">
        <is>
          <t>Team_League Table_Home_xGA</t>
        </is>
      </c>
      <c r="AG1" s="41" t="inlineStr">
        <is>
          <t>Team_League Table_Home_xGD</t>
        </is>
      </c>
      <c r="AH1" s="41" t="inlineStr">
        <is>
          <t>Team_League Table_Home_xGD/90</t>
        </is>
      </c>
      <c r="AI1" s="41" t="inlineStr">
        <is>
          <t>Team_League Table_Away_MP</t>
        </is>
      </c>
      <c r="AJ1" s="41" t="inlineStr">
        <is>
          <t>Team_League Table_Away_W</t>
        </is>
      </c>
      <c r="AK1" s="41" t="inlineStr">
        <is>
          <t>Team_League Table_Away_D</t>
        </is>
      </c>
      <c r="AL1" s="41" t="inlineStr">
        <is>
          <t>Team_League Table_Away_L</t>
        </is>
      </c>
      <c r="AM1" s="41" t="inlineStr">
        <is>
          <t>Team_League Table_Away_GF</t>
        </is>
      </c>
      <c r="AN1" s="41" t="inlineStr">
        <is>
          <t>Team_League Table_Away_GA</t>
        </is>
      </c>
      <c r="AO1" s="41" t="inlineStr">
        <is>
          <t>Team_League Table_Away_GD</t>
        </is>
      </c>
      <c r="AP1" s="41" t="inlineStr">
        <is>
          <t>Team_League Table_Away_Pts</t>
        </is>
      </c>
      <c r="AQ1" s="41" t="inlineStr">
        <is>
          <t>Team_League Table_Away_Pts/MP</t>
        </is>
      </c>
      <c r="AR1" s="41" t="inlineStr">
        <is>
          <t>Team_League Table_Away_xG</t>
        </is>
      </c>
      <c r="AS1" s="41" t="inlineStr">
        <is>
          <t>Team_League Table_Away_xGA</t>
        </is>
      </c>
      <c r="AT1" s="41" t="inlineStr">
        <is>
          <t>Team_League Table_Away_xGD</t>
        </is>
      </c>
      <c r="AU1" s="41" t="inlineStr">
        <is>
          <t>Team_League Table_Away_xGD/90</t>
        </is>
      </c>
      <c r="AV1" s="41" t="inlineStr">
        <is>
          <t>Team_Standard_Stats_# Pl</t>
        </is>
      </c>
      <c r="AW1" s="41" t="inlineStr">
        <is>
          <t>Team_Standard_Stats_Age</t>
        </is>
      </c>
      <c r="AX1" s="41" t="inlineStr">
        <is>
          <t>Team_Standard_Stats_Poss</t>
        </is>
      </c>
      <c r="AY1" s="41" t="inlineStr">
        <is>
          <t>Team_Standard_Stats_MP</t>
        </is>
      </c>
      <c r="AZ1" s="41" t="inlineStr">
        <is>
          <t>Team_Standard_Stats_Starts</t>
        </is>
      </c>
      <c r="BA1" s="41" t="inlineStr">
        <is>
          <t>Team_Standard_Stats_Min</t>
        </is>
      </c>
      <c r="BB1" s="41" t="inlineStr">
        <is>
          <t>Team_Standard_Stats_90s</t>
        </is>
      </c>
      <c r="BC1" s="41" t="inlineStr">
        <is>
          <t>Team_Standard_Stats_Gls</t>
        </is>
      </c>
      <c r="BD1" s="41" t="inlineStr">
        <is>
          <t>Team_Standard_Stats_Ast</t>
        </is>
      </c>
      <c r="BE1" s="41" t="inlineStr">
        <is>
          <t>Team_Standard_Stats_G+A</t>
        </is>
      </c>
      <c r="BF1" s="41" t="inlineStr">
        <is>
          <t>Team_Standard_Stats_G-PK</t>
        </is>
      </c>
      <c r="BG1" s="41" t="inlineStr">
        <is>
          <t>Team_Standard_Stats_PK</t>
        </is>
      </c>
      <c r="BH1" s="41" t="inlineStr">
        <is>
          <t>Team_Standard_Stats_PKatt</t>
        </is>
      </c>
      <c r="BI1" s="41" t="inlineStr">
        <is>
          <t>Team_Standard_Stats_CrdY</t>
        </is>
      </c>
      <c r="BJ1" s="41" t="inlineStr">
        <is>
          <t>Team_Standard_Stats_CrdR</t>
        </is>
      </c>
      <c r="BK1" s="41" t="inlineStr">
        <is>
          <t>Team_Standard_Stats_xG</t>
        </is>
      </c>
      <c r="BL1" s="41" t="inlineStr">
        <is>
          <t>Team_Standard_Stats_npxG</t>
        </is>
      </c>
      <c r="BM1" s="41" t="inlineStr">
        <is>
          <t>Team_Standard_Stats_xAG</t>
        </is>
      </c>
      <c r="BN1" s="41" t="inlineStr">
        <is>
          <t>Team_Standard_Stats_npxG+xAG</t>
        </is>
      </c>
      <c r="BO1" s="41" t="inlineStr">
        <is>
          <t>Team_Standard_Stats_PrgC</t>
        </is>
      </c>
      <c r="BP1" s="41" t="inlineStr">
        <is>
          <t>Team_Standard_Stats_PrgP</t>
        </is>
      </c>
      <c r="BQ1" s="41" t="inlineStr">
        <is>
          <t>Team_Standard_Stats_Gls.1</t>
        </is>
      </c>
      <c r="BR1" s="41" t="inlineStr">
        <is>
          <t>Team_Standard_Stats_Ast.1</t>
        </is>
      </c>
      <c r="BS1" s="41" t="inlineStr">
        <is>
          <t>Team_Standard_Stats_G+A.1</t>
        </is>
      </c>
      <c r="BT1" s="41" t="inlineStr">
        <is>
          <t>Team_Standard_Stats_G-PK.1</t>
        </is>
      </c>
      <c r="BU1" s="41" t="inlineStr">
        <is>
          <t>Team_Standard_Stats_G+A-PK</t>
        </is>
      </c>
      <c r="BV1" s="41" t="inlineStr">
        <is>
          <t>Team_Standard_Stats_xG.1</t>
        </is>
      </c>
      <c r="BW1" s="41" t="inlineStr">
        <is>
          <t>Team_Standard_Stats_xAG.1</t>
        </is>
      </c>
      <c r="BX1" s="41" t="inlineStr">
        <is>
          <t>Team_Standard_Stats_xG+xAG</t>
        </is>
      </c>
      <c r="BY1" s="41" t="inlineStr">
        <is>
          <t>Team_Standard_Stats_npxG.1</t>
        </is>
      </c>
      <c r="BZ1" s="41" t="inlineStr">
        <is>
          <t>Team_Standard_Stats_npxG+xAG.1</t>
        </is>
      </c>
      <c r="CA1" s="41" t="inlineStr">
        <is>
          <t>Team_Shooting_# Pl</t>
        </is>
      </c>
      <c r="CB1" s="41" t="inlineStr">
        <is>
          <t>Team_Shooting_90s</t>
        </is>
      </c>
      <c r="CC1" s="41" t="inlineStr">
        <is>
          <t>Team_Shooting_Gls</t>
        </is>
      </c>
      <c r="CD1" s="41" t="inlineStr">
        <is>
          <t>Team_Shooting_Sh</t>
        </is>
      </c>
      <c r="CE1" s="41" t="inlineStr">
        <is>
          <t>Team_Shooting_SoT</t>
        </is>
      </c>
      <c r="CF1" s="41" t="inlineStr">
        <is>
          <t>Team_Shooting_SoT%</t>
        </is>
      </c>
      <c r="CG1" s="41" t="inlineStr">
        <is>
          <t>Team_Shooting_Sh/90</t>
        </is>
      </c>
      <c r="CH1" s="41" t="inlineStr">
        <is>
          <t>Team_Shooting_SoT/90</t>
        </is>
      </c>
      <c r="CI1" s="41" t="inlineStr">
        <is>
          <t>Team_Shooting_G/Sh</t>
        </is>
      </c>
      <c r="CJ1" s="41" t="inlineStr">
        <is>
          <t>Team_Shooting_G/SoT</t>
        </is>
      </c>
      <c r="CK1" s="41" t="inlineStr">
        <is>
          <t>Team_Shooting_Dist</t>
        </is>
      </c>
      <c r="CL1" s="41" t="inlineStr">
        <is>
          <t>Team_Shooting_FK</t>
        </is>
      </c>
      <c r="CM1" s="41" t="inlineStr">
        <is>
          <t>Team_Shooting_PK</t>
        </is>
      </c>
      <c r="CN1" s="41" t="inlineStr">
        <is>
          <t>Team_Shooting_PKatt</t>
        </is>
      </c>
      <c r="CO1" s="41" t="inlineStr">
        <is>
          <t>Team_Shooting_xG</t>
        </is>
      </c>
      <c r="CP1" s="41" t="inlineStr">
        <is>
          <t>Team_Shooting_npxG</t>
        </is>
      </c>
      <c r="CQ1" s="41" t="inlineStr">
        <is>
          <t>Team_Shooting_npxG/Sh</t>
        </is>
      </c>
      <c r="CR1" s="41" t="inlineStr">
        <is>
          <t>Team_Shooting_G-xG</t>
        </is>
      </c>
      <c r="CS1" s="41" t="inlineStr">
        <is>
          <t>Team_Shooting_np:G-xG</t>
        </is>
      </c>
      <c r="CT1" s="41" t="inlineStr">
        <is>
          <t>Team_Passing_# Pl</t>
        </is>
      </c>
      <c r="CU1" s="41" t="inlineStr">
        <is>
          <t>Team_Passing_90s</t>
        </is>
      </c>
      <c r="CV1" s="41" t="inlineStr">
        <is>
          <t>Team_Passing_Cmp</t>
        </is>
      </c>
      <c r="CW1" s="41" t="inlineStr">
        <is>
          <t>Team_Passing_Att</t>
        </is>
      </c>
      <c r="CX1" s="41" t="inlineStr">
        <is>
          <t>Team_Passing_Cmp%</t>
        </is>
      </c>
      <c r="CY1" s="41" t="inlineStr">
        <is>
          <t>Team_Passing_TotDist</t>
        </is>
      </c>
      <c r="CZ1" s="41" t="inlineStr">
        <is>
          <t>Team_Passing_PrgDist</t>
        </is>
      </c>
      <c r="DA1" s="41" t="inlineStr">
        <is>
          <t>Team_Passing_Cmp.1</t>
        </is>
      </c>
      <c r="DB1" s="41" t="inlineStr">
        <is>
          <t>Team_Passing_Att.1</t>
        </is>
      </c>
      <c r="DC1" s="41" t="inlineStr">
        <is>
          <t>Team_Passing_Cmp%.1</t>
        </is>
      </c>
      <c r="DD1" s="41" t="inlineStr">
        <is>
          <t>Team_Passing_Cmp.2</t>
        </is>
      </c>
      <c r="DE1" s="41" t="inlineStr">
        <is>
          <t>Team_Passing_Att.2</t>
        </is>
      </c>
      <c r="DF1" s="41" t="inlineStr">
        <is>
          <t>Team_Passing_Cmp%.2</t>
        </is>
      </c>
      <c r="DG1" s="41" t="inlineStr">
        <is>
          <t>Team_Passing_Cmp.3</t>
        </is>
      </c>
      <c r="DH1" s="41" t="inlineStr">
        <is>
          <t>Team_Passing_Att.3</t>
        </is>
      </c>
      <c r="DI1" s="41" t="inlineStr">
        <is>
          <t>Team_Passing_Cmp%.3</t>
        </is>
      </c>
      <c r="DJ1" s="41" t="inlineStr">
        <is>
          <t>Team_Passing_Ast</t>
        </is>
      </c>
      <c r="DK1" s="41" t="inlineStr">
        <is>
          <t>Team_Passing_xAG</t>
        </is>
      </c>
      <c r="DL1" s="41" t="inlineStr">
        <is>
          <t>Team_Passing_xA</t>
        </is>
      </c>
      <c r="DM1" s="41" t="inlineStr">
        <is>
          <t>Team_Passing_A-xAG</t>
        </is>
      </c>
      <c r="DN1" s="41" t="inlineStr">
        <is>
          <t>Team_Passing_KP</t>
        </is>
      </c>
      <c r="DO1" s="41" t="inlineStr">
        <is>
          <t>Team_Passing_1/3</t>
        </is>
      </c>
      <c r="DP1" s="41" t="inlineStr">
        <is>
          <t>Team_Passing_PPA</t>
        </is>
      </c>
      <c r="DQ1" s="41" t="inlineStr">
        <is>
          <t>Team_Passing_CrsPA</t>
        </is>
      </c>
      <c r="DR1" s="41" t="inlineStr">
        <is>
          <t>Team_Passing_PrgP</t>
        </is>
      </c>
      <c r="DS1" s="41" t="inlineStr">
        <is>
          <t>Team_Pass_Types_# Pl</t>
        </is>
      </c>
      <c r="DT1" s="41" t="inlineStr">
        <is>
          <t>Team_Pass_Types_90s</t>
        </is>
      </c>
      <c r="DU1" s="41" t="inlineStr">
        <is>
          <t>Team_Pass_Types_Att</t>
        </is>
      </c>
      <c r="DV1" s="41" t="inlineStr">
        <is>
          <t>Team_Pass_Types_Live</t>
        </is>
      </c>
      <c r="DW1" s="41" t="inlineStr">
        <is>
          <t>Team_Pass_Types_Dead</t>
        </is>
      </c>
      <c r="DX1" s="41" t="inlineStr">
        <is>
          <t>Team_Pass_Types_FK</t>
        </is>
      </c>
      <c r="DY1" s="41" t="inlineStr">
        <is>
          <t>Team_Pass_Types_TB</t>
        </is>
      </c>
      <c r="DZ1" s="41" t="inlineStr">
        <is>
          <t>Team_Pass_Types_Sw</t>
        </is>
      </c>
      <c r="EA1" s="41" t="inlineStr">
        <is>
          <t>Team_Pass_Types_Crs</t>
        </is>
      </c>
      <c r="EB1" s="41" t="inlineStr">
        <is>
          <t>Team_Pass_Types_TI</t>
        </is>
      </c>
      <c r="EC1" s="41" t="inlineStr">
        <is>
          <t>Team_Pass_Types_CK</t>
        </is>
      </c>
      <c r="ED1" s="41" t="inlineStr">
        <is>
          <t>Team_Pass_Types_In</t>
        </is>
      </c>
      <c r="EE1" s="41" t="inlineStr">
        <is>
          <t>Team_Pass_Types_Out</t>
        </is>
      </c>
      <c r="EF1" s="41" t="inlineStr">
        <is>
          <t>Team_Pass_Types_Str</t>
        </is>
      </c>
      <c r="EG1" s="41" t="inlineStr">
        <is>
          <t>Team_Pass_Types_Cmp</t>
        </is>
      </c>
      <c r="EH1" s="41" t="inlineStr">
        <is>
          <t>Team_Pass_Types_Off</t>
        </is>
      </c>
      <c r="EI1" s="41" t="inlineStr">
        <is>
          <t>Team_Pass_Types_Blocks</t>
        </is>
      </c>
      <c r="EJ1" s="41" t="inlineStr">
        <is>
          <t>Team_Defensive_Actions_# Pl</t>
        </is>
      </c>
      <c r="EK1" s="41" t="inlineStr">
        <is>
          <t>Team_Defensive_Actions_90s</t>
        </is>
      </c>
      <c r="EL1" s="41" t="inlineStr">
        <is>
          <t>Team_Defensive_Actions_Tkl</t>
        </is>
      </c>
      <c r="EM1" s="41" t="inlineStr">
        <is>
          <t>Team_Defensive_Actions_TklW</t>
        </is>
      </c>
      <c r="EN1" s="41" t="inlineStr">
        <is>
          <t>Team_Defensive_Actions_Def 3rd</t>
        </is>
      </c>
      <c r="EO1" s="41" t="inlineStr">
        <is>
          <t>Team_Defensive_Actions_Mid 3rd</t>
        </is>
      </c>
      <c r="EP1" s="41" t="inlineStr">
        <is>
          <t>Team_Defensive_Actions_Att 3rd</t>
        </is>
      </c>
      <c r="EQ1" s="41" t="inlineStr">
        <is>
          <t>Team_Defensive_Actions_Tkl.1</t>
        </is>
      </c>
      <c r="ER1" s="41" t="inlineStr">
        <is>
          <t>Team_Defensive_Actions_Att</t>
        </is>
      </c>
      <c r="ES1" s="41" t="inlineStr">
        <is>
          <t>Team_Defensive_Actions_Tkl%</t>
        </is>
      </c>
      <c r="ET1" s="41" t="inlineStr">
        <is>
          <t>Team_Defensive_Actions_Lost</t>
        </is>
      </c>
      <c r="EU1" s="41" t="inlineStr">
        <is>
          <t>Team_Defensive_Actions_Blocks</t>
        </is>
      </c>
      <c r="EV1" s="41" t="inlineStr">
        <is>
          <t>Team_Defensive_Actions_Sh</t>
        </is>
      </c>
      <c r="EW1" s="41" t="inlineStr">
        <is>
          <t>Team_Defensive_Actions_Pass</t>
        </is>
      </c>
      <c r="EX1" s="41" t="inlineStr">
        <is>
          <t>Team_Defensive_Actions_Int</t>
        </is>
      </c>
      <c r="EY1" s="41" t="inlineStr">
        <is>
          <t>Team_Defensive_Actions_Tkl+Int</t>
        </is>
      </c>
      <c r="EZ1" s="41" t="inlineStr">
        <is>
          <t>Team_Defensive_Actions_Clr</t>
        </is>
      </c>
      <c r="FA1" s="41" t="inlineStr">
        <is>
          <t>Team_Defensive_Actions_Err</t>
        </is>
      </c>
      <c r="FB1" s="41" t="inlineStr">
        <is>
          <t>Team_Possession_# Pl</t>
        </is>
      </c>
      <c r="FC1" s="41" t="inlineStr">
        <is>
          <t>Team_Possession_Poss</t>
        </is>
      </c>
      <c r="FD1" s="41" t="inlineStr">
        <is>
          <t>Team_Possession_90s</t>
        </is>
      </c>
      <c r="FE1" s="41" t="inlineStr">
        <is>
          <t>Team_Possession_Touches</t>
        </is>
      </c>
      <c r="FF1" s="41" t="inlineStr">
        <is>
          <t>Team_Possession_Def Pen</t>
        </is>
      </c>
      <c r="FG1" s="41" t="inlineStr">
        <is>
          <t>Team_Possession_Def 3rd</t>
        </is>
      </c>
      <c r="FH1" s="41" t="inlineStr">
        <is>
          <t>Team_Possession_Mid 3rd</t>
        </is>
      </c>
      <c r="FI1" s="41" t="inlineStr">
        <is>
          <t>Team_Possession_Att 3rd</t>
        </is>
      </c>
      <c r="FJ1" s="41" t="inlineStr">
        <is>
          <t>Team_Possession_Att Pen</t>
        </is>
      </c>
      <c r="FK1" s="41" t="inlineStr">
        <is>
          <t>Team_Possession_Live</t>
        </is>
      </c>
      <c r="FL1" s="41" t="inlineStr">
        <is>
          <t>Team_Possession_Att</t>
        </is>
      </c>
      <c r="FM1" s="41" t="inlineStr">
        <is>
          <t>Team_Possession_Succ</t>
        </is>
      </c>
      <c r="FN1" s="41" t="inlineStr">
        <is>
          <t>Team_Possession_Succ%</t>
        </is>
      </c>
      <c r="FO1" s="41" t="inlineStr">
        <is>
          <t>Team_Possession_Tkld</t>
        </is>
      </c>
      <c r="FP1" s="41" t="inlineStr">
        <is>
          <t>Team_Possession_Tkld%</t>
        </is>
      </c>
      <c r="FQ1" s="41" t="inlineStr">
        <is>
          <t>Team_Possession_Carries</t>
        </is>
      </c>
      <c r="FR1" s="41" t="inlineStr">
        <is>
          <t>Team_Possession_TotDist</t>
        </is>
      </c>
      <c r="FS1" s="41" t="inlineStr">
        <is>
          <t>Team_Possession_PrgDist</t>
        </is>
      </c>
      <c r="FT1" s="41" t="inlineStr">
        <is>
          <t>Team_Possession_PrgC</t>
        </is>
      </c>
      <c r="FU1" s="41" t="inlineStr">
        <is>
          <t>Team_Possession_1/3</t>
        </is>
      </c>
      <c r="FV1" s="41" t="inlineStr">
        <is>
          <t>Team_Possession_CPA</t>
        </is>
      </c>
      <c r="FW1" s="41" t="inlineStr">
        <is>
          <t>Team_Possession_Mis</t>
        </is>
      </c>
      <c r="FX1" s="41" t="inlineStr">
        <is>
          <t>Team_Possession_Dis</t>
        </is>
      </c>
      <c r="FY1" s="41" t="inlineStr">
        <is>
          <t>Team_Possession_Rec</t>
        </is>
      </c>
      <c r="FZ1" s="41" t="inlineStr">
        <is>
          <t>Team_Possession_PrgR</t>
        </is>
      </c>
      <c r="GA1" s="41" t="inlineStr">
        <is>
          <t>Team_Playing_Time_# Pl</t>
        </is>
      </c>
      <c r="GB1" s="41" t="inlineStr">
        <is>
          <t>Team_Playing_Time_Age</t>
        </is>
      </c>
      <c r="GC1" s="41" t="inlineStr">
        <is>
          <t>Team_Playing_Time_MP</t>
        </is>
      </c>
      <c r="GD1" s="41" t="inlineStr">
        <is>
          <t>Team_Playing_Time_Min</t>
        </is>
      </c>
      <c r="GE1" s="41" t="inlineStr">
        <is>
          <t>Team_Playing_Time_Mn/MP</t>
        </is>
      </c>
      <c r="GF1" s="41" t="inlineStr">
        <is>
          <t>Team_Playing_Time_Min%</t>
        </is>
      </c>
      <c r="GG1" s="41" t="inlineStr">
        <is>
          <t>Team_Playing_Time_90s</t>
        </is>
      </c>
      <c r="GH1" s="41" t="inlineStr">
        <is>
          <t>Team_Playing_Time_Starts</t>
        </is>
      </c>
      <c r="GI1" s="41" t="inlineStr">
        <is>
          <t>Team_Playing_Time_Mn/Start</t>
        </is>
      </c>
      <c r="GJ1" s="41" t="inlineStr">
        <is>
          <t>Team_Playing_Time_Compl</t>
        </is>
      </c>
      <c r="GK1" s="41" t="inlineStr">
        <is>
          <t>Team_Playing_Time_Subs</t>
        </is>
      </c>
      <c r="GL1" s="41" t="inlineStr">
        <is>
          <t>Team_Playing_Time_Mn/Sub</t>
        </is>
      </c>
      <c r="GM1" s="41" t="inlineStr">
        <is>
          <t>Team_Playing_Time_unSub</t>
        </is>
      </c>
      <c r="GN1" s="41" t="inlineStr">
        <is>
          <t>Team_Playing_Time_PPM</t>
        </is>
      </c>
      <c r="GO1" s="41" t="inlineStr">
        <is>
          <t>Team_Playing_Time_onG</t>
        </is>
      </c>
      <c r="GP1" s="41" t="inlineStr">
        <is>
          <t>Team_Playing_Time_onGA</t>
        </is>
      </c>
      <c r="GQ1" s="41" t="inlineStr">
        <is>
          <t>Team_Playing_Time_+/-</t>
        </is>
      </c>
      <c r="GR1" s="41" t="inlineStr">
        <is>
          <t>Team_Playing_Time_+/-90</t>
        </is>
      </c>
      <c r="GS1" s="41" t="inlineStr">
        <is>
          <t>Team_Playing_Time_onxG</t>
        </is>
      </c>
      <c r="GT1" s="41" t="inlineStr">
        <is>
          <t>Team_Playing_Time_onxGA</t>
        </is>
      </c>
      <c r="GU1" s="41" t="inlineStr">
        <is>
          <t>Team_Playing_Time_xG+/-</t>
        </is>
      </c>
      <c r="GV1" s="41" t="inlineStr">
        <is>
          <t>Team_Playing_Time_xG+/-90</t>
        </is>
      </c>
      <c r="GW1" s="41" t="inlineStr">
        <is>
          <t>Team_Miscellaneous_Stats_# Pl</t>
        </is>
      </c>
      <c r="GX1" s="41" t="inlineStr">
        <is>
          <t>Team_Miscellaneous_Stats_90s</t>
        </is>
      </c>
      <c r="GY1" s="41" t="inlineStr">
        <is>
          <t>Team_Miscellaneous_Stats_CrdY</t>
        </is>
      </c>
      <c r="GZ1" s="41" t="inlineStr">
        <is>
          <t>Team_Miscellaneous_Stats_CrdR</t>
        </is>
      </c>
      <c r="HA1" s="41" t="inlineStr">
        <is>
          <t>Team_Miscellaneous_Stats_2CrdY</t>
        </is>
      </c>
      <c r="HB1" s="41" t="inlineStr">
        <is>
          <t>Team_Miscellaneous_Stats_Fls</t>
        </is>
      </c>
      <c r="HC1" s="41" t="inlineStr">
        <is>
          <t>Team_Miscellaneous_Stats_Fld</t>
        </is>
      </c>
      <c r="HD1" s="41" t="inlineStr">
        <is>
          <t>Team_Miscellaneous_Stats_Off</t>
        </is>
      </c>
      <c r="HE1" s="41" t="inlineStr">
        <is>
          <t>Team_Miscellaneous_Stats_Crs</t>
        </is>
      </c>
      <c r="HF1" s="41" t="inlineStr">
        <is>
          <t>Team_Miscellaneous_Stats_Int</t>
        </is>
      </c>
      <c r="HG1" s="41" t="inlineStr">
        <is>
          <t>Team_Miscellaneous_Stats_TklW</t>
        </is>
      </c>
      <c r="HH1" s="41" t="inlineStr">
        <is>
          <t>Team_Miscellaneous_Stats_PKwon</t>
        </is>
      </c>
      <c r="HI1" s="41" t="inlineStr">
        <is>
          <t>Team_Miscellaneous_Stats_PKcon</t>
        </is>
      </c>
      <c r="HJ1" s="41" t="inlineStr">
        <is>
          <t>Team_Miscellaneous_Stats_OG</t>
        </is>
      </c>
      <c r="HK1" s="41" t="inlineStr">
        <is>
          <t>Team_Miscellaneous_Stats_Recov</t>
        </is>
      </c>
      <c r="HL1" s="41" t="inlineStr">
        <is>
          <t>Team_Miscellaneous_Stats_Won</t>
        </is>
      </c>
      <c r="HM1" s="41" t="inlineStr">
        <is>
          <t>Team_Miscellaneous_Stats_Lost</t>
        </is>
      </c>
      <c r="HN1" s="41" t="inlineStr">
        <is>
          <t>Team_Miscellaneous_Stats_Won%</t>
        </is>
      </c>
      <c r="HO1" s="41" t="inlineStr">
        <is>
          <t>Team_Goalkeeping_# Pl</t>
        </is>
      </c>
      <c r="HP1" s="41" t="inlineStr">
        <is>
          <t>Team_Goalkeeping_MP</t>
        </is>
      </c>
      <c r="HQ1" s="41" t="inlineStr">
        <is>
          <t>Team_Goalkeeping_Starts</t>
        </is>
      </c>
      <c r="HR1" s="41" t="inlineStr">
        <is>
          <t>Team_Goalkeeping_Min</t>
        </is>
      </c>
      <c r="HS1" s="41" t="inlineStr">
        <is>
          <t>Team_Goalkeeping_90s</t>
        </is>
      </c>
      <c r="HT1" s="41" t="inlineStr">
        <is>
          <t>Team_Goalkeeping_GA</t>
        </is>
      </c>
      <c r="HU1" s="41" t="inlineStr">
        <is>
          <t>Team_Goalkeeping_GA90</t>
        </is>
      </c>
      <c r="HV1" s="41" t="inlineStr">
        <is>
          <t>Team_Goalkeeping_SoTA</t>
        </is>
      </c>
      <c r="HW1" s="41" t="inlineStr">
        <is>
          <t>Team_Goalkeeping_Saves</t>
        </is>
      </c>
      <c r="HX1" s="41" t="inlineStr">
        <is>
          <t>Team_Goalkeeping_Save%</t>
        </is>
      </c>
      <c r="HY1" s="41" t="inlineStr">
        <is>
          <t>Team_Goalkeeping_W</t>
        </is>
      </c>
      <c r="HZ1" s="41" t="inlineStr">
        <is>
          <t>Team_Goalkeeping_D</t>
        </is>
      </c>
      <c r="IA1" s="41" t="inlineStr">
        <is>
          <t>Team_Goalkeeping_L</t>
        </is>
      </c>
      <c r="IB1" s="41" t="inlineStr">
        <is>
          <t>Team_Goalkeeping_CS</t>
        </is>
      </c>
      <c r="IC1" s="41" t="inlineStr">
        <is>
          <t>Team_Goalkeeping_CS%</t>
        </is>
      </c>
      <c r="ID1" s="41" t="inlineStr">
        <is>
          <t>Team_Goalkeeping_PKatt</t>
        </is>
      </c>
      <c r="IE1" s="41" t="inlineStr">
        <is>
          <t>Team_Goalkeeping_PKA</t>
        </is>
      </c>
      <c r="IF1" s="41" t="inlineStr">
        <is>
          <t>Team_Goalkeeping_PKsv</t>
        </is>
      </c>
      <c r="IG1" s="41" t="inlineStr">
        <is>
          <t>Team_Goalkeeping_PKm</t>
        </is>
      </c>
      <c r="IH1" s="41" t="inlineStr">
        <is>
          <t>Team_Goalkeeping_Save%.1</t>
        </is>
      </c>
      <c r="II1" s="41" t="inlineStr">
        <is>
          <t>Team_Advanced_Goalkeeping_# Pl</t>
        </is>
      </c>
      <c r="IJ1" s="41" t="inlineStr">
        <is>
          <t>Team_Advanced_Goalkeeping_90s</t>
        </is>
      </c>
      <c r="IK1" s="41" t="inlineStr">
        <is>
          <t>Team_Advanced_Goalkeeping_GA</t>
        </is>
      </c>
      <c r="IL1" s="41" t="inlineStr">
        <is>
          <t>Team_Advanced_Goalkeeping_PKA</t>
        </is>
      </c>
      <c r="IM1" s="41" t="inlineStr">
        <is>
          <t>Team_Advanced_Goalkeeping_FK</t>
        </is>
      </c>
      <c r="IN1" s="41" t="inlineStr">
        <is>
          <t>Team_Advanced_Goalkeeping_CK</t>
        </is>
      </c>
      <c r="IO1" s="41" t="inlineStr">
        <is>
          <t>Team_Advanced_Goalkeeping_OG</t>
        </is>
      </c>
      <c r="IP1" s="41" t="inlineStr">
        <is>
          <t>Team_Advanced_Goalkeeping_PSxG</t>
        </is>
      </c>
      <c r="IQ1" s="41" t="inlineStr">
        <is>
          <t>Team_Advanced_Goalkeeping_PSxG/SoT</t>
        </is>
      </c>
      <c r="IR1" s="41" t="inlineStr">
        <is>
          <t>Team_Advanced_Goalkeeping_PSxG+/-</t>
        </is>
      </c>
      <c r="IS1" s="41" t="inlineStr">
        <is>
          <t>Team_Advanced_Goalkeeping_/90</t>
        </is>
      </c>
      <c r="IT1" s="41" t="inlineStr">
        <is>
          <t>Team_Advanced_Goalkeeping_Cmp</t>
        </is>
      </c>
      <c r="IU1" s="41" t="inlineStr">
        <is>
          <t>Team_Advanced_Goalkeeping_Att</t>
        </is>
      </c>
      <c r="IV1" s="41" t="inlineStr">
        <is>
          <t>Team_Advanced_Goalkeeping_Cmp%</t>
        </is>
      </c>
      <c r="IW1" s="41" t="inlineStr">
        <is>
          <t>Team_Advanced_Goalkeeping_Att (GK)</t>
        </is>
      </c>
      <c r="IX1" s="41" t="inlineStr">
        <is>
          <t>Team_Advanced_Goalkeeping_Thr</t>
        </is>
      </c>
      <c r="IY1" s="41" t="inlineStr">
        <is>
          <t>Team_Advanced_Goalkeeping_Launch%</t>
        </is>
      </c>
      <c r="IZ1" s="41" t="inlineStr">
        <is>
          <t>Team_Advanced_Goalkeeping_AvgLen</t>
        </is>
      </c>
      <c r="JA1" s="41" t="inlineStr">
        <is>
          <t>Team_Advanced_Goalkeeping_Att.1</t>
        </is>
      </c>
      <c r="JB1" s="41" t="inlineStr">
        <is>
          <t>Team_Advanced_Goalkeeping_Launch%.1</t>
        </is>
      </c>
      <c r="JC1" s="41" t="inlineStr">
        <is>
          <t>Team_Advanced_Goalkeeping_AvgLen.1</t>
        </is>
      </c>
      <c r="JD1" s="41" t="inlineStr">
        <is>
          <t>Team_Advanced_Goalkeeping_Opp</t>
        </is>
      </c>
      <c r="JE1" s="41" t="inlineStr">
        <is>
          <t>Team_Advanced_Goalkeeping_Stp</t>
        </is>
      </c>
      <c r="JF1" s="41" t="inlineStr">
        <is>
          <t>Team_Advanced_Goalkeeping_Stp%</t>
        </is>
      </c>
      <c r="JG1" s="41" t="inlineStr">
        <is>
          <t>Team_Advanced_Goalkeeping_#OPA</t>
        </is>
      </c>
      <c r="JH1" s="41" t="inlineStr">
        <is>
          <t>Team_Advanced_Goalkeeping_#OPA/90</t>
        </is>
      </c>
      <c r="JI1" s="41" t="inlineStr">
        <is>
          <t>Team_Advanced_Goalkeeping_AvgDist</t>
        </is>
      </c>
      <c r="JJ1" s="41" t="inlineStr">
        <is>
          <t>MP</t>
        </is>
      </c>
      <c r="JK1" s="41" t="inlineStr">
        <is>
          <t>xG</t>
        </is>
      </c>
      <c r="JL1" s="41" t="inlineStr">
        <is>
          <t>Poss</t>
        </is>
      </c>
      <c r="JM1" s="41" t="inlineStr">
        <is>
          <t>Sh</t>
        </is>
      </c>
      <c r="JN1" s="41" t="inlineStr">
        <is>
          <t>SoT</t>
        </is>
      </c>
      <c r="JO1" s="41" t="inlineStr">
        <is>
          <t>SoT%</t>
        </is>
      </c>
      <c r="JP1" s="41" t="inlineStr">
        <is>
          <t>npxG</t>
        </is>
      </c>
      <c r="JQ1" s="41" t="inlineStr">
        <is>
          <t>Cmp</t>
        </is>
      </c>
      <c r="JR1" s="41" t="inlineStr">
        <is>
          <t>Att</t>
        </is>
      </c>
      <c r="JS1" s="41" t="inlineStr">
        <is>
          <t>Cmp%</t>
        </is>
      </c>
      <c r="JT1" s="41" t="inlineStr">
        <is>
          <t>Tkl</t>
        </is>
      </c>
      <c r="JU1" s="41" t="inlineStr">
        <is>
          <t>TklW</t>
        </is>
      </c>
      <c r="JV1" s="41" t="inlineStr">
        <is>
          <t>Int</t>
        </is>
      </c>
      <c r="JW1" s="41" t="inlineStr">
        <is>
          <t>Clr</t>
        </is>
      </c>
      <c r="JX1" s="41" t="inlineStr">
        <is>
          <t>Fls</t>
        </is>
      </c>
      <c r="JY1" s="41" t="inlineStr">
        <is>
          <t>Fld</t>
        </is>
      </c>
      <c r="JZ1" s="41" t="inlineStr">
        <is>
          <t>CrdY</t>
        </is>
      </c>
      <c r="KA1" s="41" t="inlineStr">
        <is>
          <t>CrdR</t>
        </is>
      </c>
      <c r="KB1" s="41" t="inlineStr">
        <is>
          <t>Clean_Sheet_%</t>
        </is>
      </c>
      <c r="KC1" s="41" t="inlineStr">
        <is>
          <t>Shot_Accuracy_%</t>
        </is>
      </c>
      <c r="KD1" s="41" t="inlineStr">
        <is>
          <t>Pass_Completion_%</t>
        </is>
      </c>
      <c r="KE1" s="41" t="inlineStr">
        <is>
          <t>Tackle_Success_%</t>
        </is>
      </c>
    </row>
    <row r="2">
      <c r="A2" s="40" t="inlineStr">
        <is>
          <t>Arsenal</t>
        </is>
      </c>
      <c r="B2" s="40" t="n">
        <v>1</v>
      </c>
      <c r="C2" s="40" t="n">
        <v>13</v>
      </c>
      <c r="D2" s="40" t="n">
        <v>9</v>
      </c>
      <c r="E2" s="40" t="n">
        <v>3</v>
      </c>
      <c r="F2" s="40" t="n">
        <v>1</v>
      </c>
      <c r="G2" s="40" t="n">
        <v>25</v>
      </c>
      <c r="H2" s="40" t="n">
        <v>7</v>
      </c>
      <c r="I2" s="40" t="n">
        <v>18</v>
      </c>
      <c r="J2" s="40" t="n">
        <v>30</v>
      </c>
      <c r="K2" s="40" t="n">
        <v>2.31</v>
      </c>
      <c r="L2" s="40" t="n">
        <v>21.8</v>
      </c>
      <c r="M2" s="40" t="n">
        <v>6.9</v>
      </c>
      <c r="N2" s="40" t="n">
        <v>14.9</v>
      </c>
      <c r="O2" s="40" t="n">
        <v>1.15</v>
      </c>
      <c r="P2" s="40" t="inlineStr">
        <is>
          <t>W W D W D</t>
        </is>
      </c>
      <c r="Q2" s="40" t="n">
        <v>60178</v>
      </c>
      <c r="R2" s="40" t="inlineStr">
        <is>
          <t>Viktor Gyökeres, Eberechi Eze - 4</t>
        </is>
      </c>
      <c r="S2" s="40" t="inlineStr">
        <is>
          <t>David Raya</t>
        </is>
      </c>
      <c r="T2" s="40" t="n">
        <v/>
      </c>
      <c r="U2" s="40" t="n">
        <v>1</v>
      </c>
      <c r="V2" s="40" t="n">
        <v>6</v>
      </c>
      <c r="W2" s="40" t="n">
        <v>5</v>
      </c>
      <c r="X2" s="40" t="n">
        <v>1</v>
      </c>
      <c r="Y2" s="40" t="n">
        <v>0</v>
      </c>
      <c r="Z2" s="40" t="n">
        <v>16</v>
      </c>
      <c r="AA2" s="40" t="n">
        <v>2</v>
      </c>
      <c r="AB2" s="40" t="n">
        <v>14</v>
      </c>
      <c r="AC2" s="40" t="n">
        <v>16</v>
      </c>
      <c r="AD2" s="40" t="n">
        <v>2.67</v>
      </c>
      <c r="AE2" s="40" t="n">
        <v>10.9</v>
      </c>
      <c r="AF2" s="40" t="n">
        <v>2.3</v>
      </c>
      <c r="AG2" s="40" t="n">
        <v>8.699999999999999</v>
      </c>
      <c r="AH2" s="40" t="n">
        <v>1.44</v>
      </c>
      <c r="AI2" s="40" t="n">
        <v>7</v>
      </c>
      <c r="AJ2" s="40" t="n">
        <v>4</v>
      </c>
      <c r="AK2" s="40" t="n">
        <v>2</v>
      </c>
      <c r="AL2" s="40" t="n">
        <v>1</v>
      </c>
      <c r="AM2" s="40" t="n">
        <v>9</v>
      </c>
      <c r="AN2" s="40" t="n">
        <v>5</v>
      </c>
      <c r="AO2" s="40" t="n">
        <v>4</v>
      </c>
      <c r="AP2" s="40" t="n">
        <v>14</v>
      </c>
      <c r="AQ2" s="40" t="n">
        <v>2</v>
      </c>
      <c r="AR2" s="40" t="n">
        <v>10.8</v>
      </c>
      <c r="AS2" s="40" t="n">
        <v>4.6</v>
      </c>
      <c r="AT2" s="40" t="n">
        <v>6.2</v>
      </c>
      <c r="AU2" s="40" t="n">
        <v>0.89</v>
      </c>
      <c r="AV2" s="40" t="n">
        <v>23</v>
      </c>
      <c r="AW2" s="40" t="n">
        <v>26.4</v>
      </c>
      <c r="AX2" s="40" t="n">
        <v>58.5</v>
      </c>
      <c r="AY2" s="40" t="n">
        <v>13</v>
      </c>
      <c r="AZ2" s="40" t="n">
        <v>143</v>
      </c>
      <c r="BA2" s="40" t="n">
        <v>1170</v>
      </c>
      <c r="BB2" s="40" t="n">
        <v>13</v>
      </c>
      <c r="BC2" s="40" t="n">
        <v>25</v>
      </c>
      <c r="BD2" s="40" t="n">
        <v>19</v>
      </c>
      <c r="BE2" s="40" t="n">
        <v>44</v>
      </c>
      <c r="BF2" s="40" t="n">
        <v>23</v>
      </c>
      <c r="BG2" s="40" t="n">
        <v>2</v>
      </c>
      <c r="BH2" s="40" t="n">
        <v>2</v>
      </c>
      <c r="BI2" s="40" t="n">
        <v>18</v>
      </c>
      <c r="BJ2" s="40" t="n">
        <v>0</v>
      </c>
      <c r="BK2" s="40" t="n">
        <v>21.8</v>
      </c>
      <c r="BL2" s="40" t="n">
        <v>20.2</v>
      </c>
      <c r="BM2" s="40" t="n">
        <v>14.2</v>
      </c>
      <c r="BN2" s="40" t="n">
        <v>34.4</v>
      </c>
      <c r="BO2" s="40" t="n">
        <v>264</v>
      </c>
      <c r="BP2" s="40" t="n">
        <v>568</v>
      </c>
      <c r="BQ2" s="40" t="n">
        <v>1.92</v>
      </c>
      <c r="BR2" s="40" t="n">
        <v>1.46</v>
      </c>
      <c r="BS2" s="40" t="n">
        <v>3.38</v>
      </c>
      <c r="BT2" s="40" t="n">
        <v>1.77</v>
      </c>
      <c r="BU2" s="40" t="n">
        <v>3.23</v>
      </c>
      <c r="BV2" s="40" t="n">
        <v>1.67</v>
      </c>
      <c r="BW2" s="40" t="n">
        <v>1.09</v>
      </c>
      <c r="BX2" s="40" t="n">
        <v>2.76</v>
      </c>
      <c r="BY2" s="40" t="n">
        <v>1.55</v>
      </c>
      <c r="BZ2" s="40" t="n">
        <v>2.64</v>
      </c>
      <c r="CA2" s="40" t="n">
        <v>23</v>
      </c>
      <c r="CB2" s="40" t="n">
        <v>13</v>
      </c>
      <c r="CC2" s="40" t="n">
        <v>25</v>
      </c>
      <c r="CD2" s="40" t="n">
        <v>185</v>
      </c>
      <c r="CE2" s="40" t="n">
        <v>61</v>
      </c>
      <c r="CF2" s="40" t="n">
        <v>33</v>
      </c>
      <c r="CG2" s="40" t="n">
        <v>14.23</v>
      </c>
      <c r="CH2" s="40" t="n">
        <v>4.69</v>
      </c>
      <c r="CI2" s="40" t="n">
        <v>0.12</v>
      </c>
      <c r="CJ2" s="40" t="n">
        <v>0.38</v>
      </c>
      <c r="CK2" s="40" t="n">
        <v>15.2</v>
      </c>
      <c r="CL2" s="40" t="n">
        <v>5</v>
      </c>
      <c r="CM2" s="40" t="n">
        <v>2</v>
      </c>
      <c r="CN2" s="40" t="n">
        <v>2</v>
      </c>
      <c r="CO2" s="40" t="n">
        <v>21.8</v>
      </c>
      <c r="CP2" s="40" t="n">
        <v>20.2</v>
      </c>
      <c r="CQ2" s="40" t="n">
        <v>0.11</v>
      </c>
      <c r="CR2" s="40" t="n">
        <v>3.2</v>
      </c>
      <c r="CS2" s="40" t="n">
        <v>2.8</v>
      </c>
      <c r="CT2" s="40" t="n">
        <v>23</v>
      </c>
      <c r="CU2" s="40" t="n">
        <v>13</v>
      </c>
      <c r="CV2" s="40" t="n">
        <v>5757</v>
      </c>
      <c r="CW2" s="40" t="n">
        <v>6959</v>
      </c>
      <c r="CX2" s="40" t="n">
        <v>82.7</v>
      </c>
      <c r="CY2" s="40" t="n">
        <v>100340</v>
      </c>
      <c r="CZ2" s="40" t="n">
        <v>30858</v>
      </c>
      <c r="DA2" s="40" t="n">
        <v>2529</v>
      </c>
      <c r="DB2" s="40" t="n">
        <v>2800</v>
      </c>
      <c r="DC2" s="40" t="n">
        <v>90.3</v>
      </c>
      <c r="DD2" s="40" t="n">
        <v>2718</v>
      </c>
      <c r="DE2" s="40" t="n">
        <v>3053</v>
      </c>
      <c r="DF2" s="40" t="n">
        <v>89</v>
      </c>
      <c r="DG2" s="40" t="n">
        <v>416</v>
      </c>
      <c r="DH2" s="40" t="n">
        <v>828</v>
      </c>
      <c r="DI2" s="40" t="n">
        <v>50.2</v>
      </c>
      <c r="DJ2" s="40" t="n">
        <v>19</v>
      </c>
      <c r="DK2" s="40" t="n">
        <v>14.2</v>
      </c>
      <c r="DL2" s="40" t="n">
        <v>15.4</v>
      </c>
      <c r="DM2" s="40" t="n">
        <v>4.8</v>
      </c>
      <c r="DN2" s="40" t="n">
        <v>125</v>
      </c>
      <c r="DO2" s="40" t="n">
        <v>452</v>
      </c>
      <c r="DP2" s="40" t="n">
        <v>129</v>
      </c>
      <c r="DQ2" s="40" t="n">
        <v>16</v>
      </c>
      <c r="DR2" s="40" t="n">
        <v>568</v>
      </c>
      <c r="DS2" s="40" t="n">
        <v>23</v>
      </c>
      <c r="DT2" s="40" t="n">
        <v>13</v>
      </c>
      <c r="DU2" s="40" t="n">
        <v>6959</v>
      </c>
      <c r="DV2" s="40" t="n">
        <v>6390</v>
      </c>
      <c r="DW2" s="40" t="n">
        <v>549</v>
      </c>
      <c r="DX2" s="40" t="n">
        <v>147</v>
      </c>
      <c r="DY2" s="40" t="n">
        <v>44</v>
      </c>
      <c r="DZ2" s="40" t="n">
        <v>25</v>
      </c>
      <c r="EA2" s="40" t="n">
        <v>245</v>
      </c>
      <c r="EB2" s="40" t="n">
        <v>235</v>
      </c>
      <c r="EC2" s="40" t="n">
        <v>82</v>
      </c>
      <c r="ED2" s="40" t="n">
        <v>65</v>
      </c>
      <c r="EE2" s="40" t="n">
        <v>7</v>
      </c>
      <c r="EF2" s="40" t="n">
        <v>0</v>
      </c>
      <c r="EG2" s="40" t="n">
        <v>5757</v>
      </c>
      <c r="EH2" s="40" t="n">
        <v>20</v>
      </c>
      <c r="EI2" s="40" t="n">
        <v>100</v>
      </c>
      <c r="EJ2" s="40" t="n">
        <v>23</v>
      </c>
      <c r="EK2" s="40" t="n">
        <v>13</v>
      </c>
      <c r="EL2" s="40" t="n">
        <v>200</v>
      </c>
      <c r="EM2" s="40" t="n">
        <v>116</v>
      </c>
      <c r="EN2" s="40" t="n">
        <v>83</v>
      </c>
      <c r="EO2" s="40" t="n">
        <v>81</v>
      </c>
      <c r="EP2" s="40" t="n">
        <v>36</v>
      </c>
      <c r="EQ2" s="40" t="n">
        <v>85</v>
      </c>
      <c r="ER2" s="40" t="n">
        <v>153</v>
      </c>
      <c r="ES2" s="40" t="n">
        <v>55.6</v>
      </c>
      <c r="ET2" s="40" t="n">
        <v>68</v>
      </c>
      <c r="EU2" s="40" t="n">
        <v>120</v>
      </c>
      <c r="EV2" s="40" t="n">
        <v>30</v>
      </c>
      <c r="EW2" s="40" t="n">
        <v>90</v>
      </c>
      <c r="EX2" s="40" t="n">
        <v>84</v>
      </c>
      <c r="EY2" s="40" t="n">
        <v>284</v>
      </c>
      <c r="EZ2" s="40" t="n">
        <v>299</v>
      </c>
      <c r="FA2" s="40" t="n">
        <v>6</v>
      </c>
      <c r="FB2" s="40" t="n">
        <v>23</v>
      </c>
      <c r="FC2" s="40" t="n">
        <v>58.5</v>
      </c>
      <c r="FD2" s="40" t="n">
        <v>13</v>
      </c>
      <c r="FE2" s="40" t="n">
        <v>8384</v>
      </c>
      <c r="FF2" s="40" t="n">
        <v>706</v>
      </c>
      <c r="FG2" s="40" t="n">
        <v>2177</v>
      </c>
      <c r="FH2" s="40" t="n">
        <v>3928</v>
      </c>
      <c r="FI2" s="40" t="n">
        <v>2348</v>
      </c>
      <c r="FJ2" s="40" t="n">
        <v>401</v>
      </c>
      <c r="FK2" s="40" t="n">
        <v>8382</v>
      </c>
      <c r="FL2" s="40" t="n">
        <v>226</v>
      </c>
      <c r="FM2" s="40" t="n">
        <v>95</v>
      </c>
      <c r="FN2" s="40" t="n">
        <v>42</v>
      </c>
      <c r="FO2" s="40" t="n">
        <v>106</v>
      </c>
      <c r="FP2" s="40" t="n">
        <v>46.9</v>
      </c>
      <c r="FQ2" s="40" t="n">
        <v>4776</v>
      </c>
      <c r="FR2" s="40" t="n">
        <v>25899</v>
      </c>
      <c r="FS2" s="40" t="n">
        <v>13668</v>
      </c>
      <c r="FT2" s="40" t="n">
        <v>264</v>
      </c>
      <c r="FU2" s="40" t="n">
        <v>194</v>
      </c>
      <c r="FV2" s="40" t="n">
        <v>68</v>
      </c>
      <c r="FW2" s="40" t="n">
        <v>199</v>
      </c>
      <c r="FX2" s="40" t="n">
        <v>99</v>
      </c>
      <c r="FY2" s="40" t="n">
        <v>5674</v>
      </c>
      <c r="FZ2" s="40" t="n">
        <v>562</v>
      </c>
      <c r="GA2" s="40" t="n">
        <v>23</v>
      </c>
      <c r="GB2" s="40" t="n">
        <v>26.4</v>
      </c>
      <c r="GC2" s="40" t="n">
        <v>13</v>
      </c>
      <c r="GD2" s="40" t="n">
        <v>1170</v>
      </c>
      <c r="GE2" s="40" t="n">
        <v>90</v>
      </c>
      <c r="GF2" s="40" t="n">
        <v>100</v>
      </c>
      <c r="GG2" s="40" t="n">
        <v>13</v>
      </c>
      <c r="GH2" s="40" t="n">
        <v>143</v>
      </c>
      <c r="GI2" s="40" t="n">
        <v>81</v>
      </c>
      <c r="GJ2" s="40" t="n">
        <v>87</v>
      </c>
      <c r="GK2" s="40" t="n">
        <v>56</v>
      </c>
      <c r="GL2" s="40" t="n">
        <v>23</v>
      </c>
      <c r="GM2" s="40" t="n">
        <v>61</v>
      </c>
      <c r="GN2" s="40" t="n">
        <v>2.31</v>
      </c>
      <c r="GO2" s="40" t="n">
        <v>25</v>
      </c>
      <c r="GP2" s="40" t="n">
        <v>7</v>
      </c>
      <c r="GQ2" s="40" t="n">
        <v>18</v>
      </c>
      <c r="GR2" s="40" t="n">
        <v>1.38</v>
      </c>
      <c r="GS2" s="40" t="n">
        <v>21.8</v>
      </c>
      <c r="GT2" s="40" t="n">
        <v>6.9</v>
      </c>
      <c r="GU2" s="40" t="n">
        <v>14.9</v>
      </c>
      <c r="GV2" s="40" t="n">
        <v>1.15</v>
      </c>
      <c r="GW2" s="40" t="n">
        <v>23</v>
      </c>
      <c r="GX2" s="40" t="n">
        <v>13</v>
      </c>
      <c r="GY2" s="40" t="n">
        <v>18</v>
      </c>
      <c r="GZ2" s="40" t="n">
        <v>0</v>
      </c>
      <c r="HA2" s="40" t="n">
        <v>0</v>
      </c>
      <c r="HB2" s="40" t="n">
        <v>139</v>
      </c>
      <c r="HC2" s="40" t="n">
        <v>142</v>
      </c>
      <c r="HD2" s="40" t="n">
        <v>20</v>
      </c>
      <c r="HE2" s="40" t="n">
        <v>245</v>
      </c>
      <c r="HF2" s="40" t="n">
        <v>84</v>
      </c>
      <c r="HG2" s="40" t="n">
        <v>116</v>
      </c>
      <c r="HH2" s="40" t="n">
        <v>2</v>
      </c>
      <c r="HI2" s="40" t="n">
        <v>0</v>
      </c>
      <c r="HJ2" s="40" t="n">
        <v>0</v>
      </c>
      <c r="HK2" s="40" t="n">
        <v>503</v>
      </c>
      <c r="HL2" s="40" t="n">
        <v>207</v>
      </c>
      <c r="HM2" s="40" t="n">
        <v>197</v>
      </c>
      <c r="HN2" s="40" t="n">
        <v>51.2</v>
      </c>
      <c r="HO2" s="40" t="n">
        <v>1</v>
      </c>
      <c r="HP2" s="40" t="n">
        <v>13</v>
      </c>
      <c r="HQ2" s="40" t="n">
        <v>13</v>
      </c>
      <c r="HR2" s="40" t="n">
        <v>1170</v>
      </c>
      <c r="HS2" s="40" t="n">
        <v>13</v>
      </c>
      <c r="HT2" s="40" t="n">
        <v>7</v>
      </c>
      <c r="HU2" s="40" t="n">
        <v>0.54</v>
      </c>
      <c r="HV2" s="40" t="n">
        <v>27</v>
      </c>
      <c r="HW2" s="40" t="n">
        <v>20</v>
      </c>
      <c r="HX2" s="40" t="n">
        <v>74.09999999999999</v>
      </c>
      <c r="HY2" s="40" t="n">
        <v>9</v>
      </c>
      <c r="HZ2" s="40" t="n">
        <v>3</v>
      </c>
      <c r="IA2" s="40" t="n">
        <v>1</v>
      </c>
      <c r="IB2" s="40" t="n">
        <v>7</v>
      </c>
      <c r="IC2" s="40" t="n">
        <v>53.8</v>
      </c>
      <c r="ID2" s="40" t="n">
        <v>0</v>
      </c>
      <c r="IE2" s="40" t="n">
        <v>0</v>
      </c>
      <c r="IF2" s="40" t="n">
        <v>0</v>
      </c>
      <c r="IG2" s="40" t="n">
        <v>0</v>
      </c>
      <c r="IH2" s="40" t="n">
        <v/>
      </c>
      <c r="II2" s="40" t="n">
        <v>1</v>
      </c>
      <c r="IJ2" s="40" t="n">
        <v>13</v>
      </c>
      <c r="IK2" s="40" t="n">
        <v>7</v>
      </c>
      <c r="IL2" s="40" t="n">
        <v>0</v>
      </c>
      <c r="IM2" s="40" t="n">
        <v>1</v>
      </c>
      <c r="IN2" s="40" t="n">
        <v>2</v>
      </c>
      <c r="IO2" s="40" t="n">
        <v>0</v>
      </c>
      <c r="IP2" s="40" t="n">
        <v>5.6</v>
      </c>
      <c r="IQ2" s="40" t="n">
        <v>0.22</v>
      </c>
      <c r="IR2" s="40" t="n">
        <v>-1.4</v>
      </c>
      <c r="IS2" s="40" t="n">
        <v>-0.11</v>
      </c>
      <c r="IT2" s="40" t="n">
        <v>63</v>
      </c>
      <c r="IU2" s="40" t="n">
        <v>193</v>
      </c>
      <c r="IV2" s="40" t="n">
        <v>32.6</v>
      </c>
      <c r="IW2" s="40" t="n">
        <v>379</v>
      </c>
      <c r="IX2" s="40" t="n">
        <v>54</v>
      </c>
      <c r="IY2" s="40" t="n">
        <v>42.5</v>
      </c>
      <c r="IZ2" s="40" t="n">
        <v>35.4</v>
      </c>
      <c r="JA2" s="40" t="n">
        <v>65</v>
      </c>
      <c r="JB2" s="40" t="n">
        <v>49.2</v>
      </c>
      <c r="JC2" s="40" t="n">
        <v>39.8</v>
      </c>
      <c r="JD2" s="40" t="n">
        <v>112</v>
      </c>
      <c r="JE2" s="40" t="n">
        <v>10</v>
      </c>
      <c r="JF2" s="40" t="n">
        <v>8.9</v>
      </c>
      <c r="JG2" s="40" t="n">
        <v>21</v>
      </c>
      <c r="JH2" s="40" t="n">
        <v>1.62</v>
      </c>
      <c r="JI2" s="40" t="n">
        <v>19.8</v>
      </c>
      <c r="JJ2" s="40" t="n">
        <v>13</v>
      </c>
      <c r="JK2" s="40" t="n">
        <v>21.8</v>
      </c>
      <c r="JL2" s="40" t="n">
        <v>58.5</v>
      </c>
      <c r="JM2" s="40" t="n">
        <v>185</v>
      </c>
      <c r="JN2" s="40" t="n">
        <v>61</v>
      </c>
      <c r="JO2" s="40" t="n">
        <v>33</v>
      </c>
      <c r="JP2" s="40" t="n">
        <v>20.2</v>
      </c>
      <c r="JQ2" s="40" t="n">
        <v>5757</v>
      </c>
      <c r="JR2" s="40" t="n">
        <v>6959</v>
      </c>
      <c r="JS2" s="40" t="n">
        <v>82.7</v>
      </c>
      <c r="JT2" s="40" t="n">
        <v>200</v>
      </c>
      <c r="JU2" s="40" t="n">
        <v>116</v>
      </c>
      <c r="JV2" s="40" t="n">
        <v>84</v>
      </c>
      <c r="JW2" s="40" t="n">
        <v>299</v>
      </c>
      <c r="JX2" s="40" t="n">
        <v>139</v>
      </c>
      <c r="JY2" s="40" t="n">
        <v>142</v>
      </c>
      <c r="JZ2" s="40" t="n">
        <v>18</v>
      </c>
      <c r="KA2" s="40" t="n">
        <v>0</v>
      </c>
      <c r="KB2" s="40" t="n">
        <v>53.8461538462</v>
      </c>
      <c r="KC2" s="40" t="n">
        <v>32.972972973</v>
      </c>
      <c r="KD2" s="40" t="n">
        <v>82.7</v>
      </c>
      <c r="KE2" s="40" t="n">
        <v>58</v>
      </c>
    </row>
    <row r="3">
      <c r="A3" s="40" t="inlineStr">
        <is>
          <t>Manchester City</t>
        </is>
      </c>
      <c r="B3" s="40" t="n">
        <v>2</v>
      </c>
      <c r="C3" s="40" t="n">
        <v>13</v>
      </c>
      <c r="D3" s="40" t="n">
        <v>8</v>
      </c>
      <c r="E3" s="40" t="n">
        <v>1</v>
      </c>
      <c r="F3" s="40" t="n">
        <v>4</v>
      </c>
      <c r="G3" s="40" t="n">
        <v>27</v>
      </c>
      <c r="H3" s="40" t="n">
        <v>12</v>
      </c>
      <c r="I3" s="40" t="n">
        <v>15</v>
      </c>
      <c r="J3" s="40" t="n">
        <v>25</v>
      </c>
      <c r="K3" s="40" t="n">
        <v>1.92</v>
      </c>
      <c r="L3" s="40" t="n">
        <v>24.4</v>
      </c>
      <c r="M3" s="40" t="n">
        <v>14.2</v>
      </c>
      <c r="N3" s="40" t="n">
        <v>10.2</v>
      </c>
      <c r="O3" s="40" t="n">
        <v>0.79</v>
      </c>
      <c r="P3" s="40" t="inlineStr">
        <is>
          <t>L W W L W</t>
        </is>
      </c>
      <c r="Q3" s="40" t="n">
        <v>52344</v>
      </c>
      <c r="R3" s="40" t="inlineStr">
        <is>
          <t>Erling Haaland - 14</t>
        </is>
      </c>
      <c r="S3" s="40" t="inlineStr">
        <is>
          <t>Gianluigi Donnarumma</t>
        </is>
      </c>
      <c r="T3" s="40" t="n">
        <v/>
      </c>
      <c r="U3" s="40" t="n">
        <v>2</v>
      </c>
      <c r="V3" s="40" t="n">
        <v>7</v>
      </c>
      <c r="W3" s="40" t="n">
        <v>6</v>
      </c>
      <c r="X3" s="40" t="n">
        <v>0</v>
      </c>
      <c r="Y3" s="40" t="n">
        <v>1</v>
      </c>
      <c r="Z3" s="40" t="n">
        <v>19</v>
      </c>
      <c r="AA3" s="40" t="n">
        <v>6</v>
      </c>
      <c r="AB3" s="40" t="n">
        <v>13</v>
      </c>
      <c r="AC3" s="40" t="n">
        <v>18</v>
      </c>
      <c r="AD3" s="40" t="n">
        <v>2.57</v>
      </c>
      <c r="AE3" s="40" t="n">
        <v>14.9</v>
      </c>
      <c r="AF3" s="40" t="n">
        <v>6.7</v>
      </c>
      <c r="AG3" s="40" t="n">
        <v>8.199999999999999</v>
      </c>
      <c r="AH3" s="40" t="n">
        <v>1.17</v>
      </c>
      <c r="AI3" s="40" t="n">
        <v>6</v>
      </c>
      <c r="AJ3" s="40" t="n">
        <v>2</v>
      </c>
      <c r="AK3" s="40" t="n">
        <v>1</v>
      </c>
      <c r="AL3" s="40" t="n">
        <v>3</v>
      </c>
      <c r="AM3" s="40" t="n">
        <v>8</v>
      </c>
      <c r="AN3" s="40" t="n">
        <v>6</v>
      </c>
      <c r="AO3" s="40" t="n">
        <v>2</v>
      </c>
      <c r="AP3" s="40" t="n">
        <v>7</v>
      </c>
      <c r="AQ3" s="40" t="n">
        <v>1.17</v>
      </c>
      <c r="AR3" s="40" t="n">
        <v>9.6</v>
      </c>
      <c r="AS3" s="40" t="n">
        <v>7.5</v>
      </c>
      <c r="AT3" s="40" t="n">
        <v>2.1</v>
      </c>
      <c r="AU3" s="40" t="n">
        <v>0.35</v>
      </c>
      <c r="AV3" s="40" t="n">
        <v>23</v>
      </c>
      <c r="AW3" s="40" t="n">
        <v>25.6</v>
      </c>
      <c r="AX3" s="40" t="n">
        <v>57.6</v>
      </c>
      <c r="AY3" s="40" t="n">
        <v>13</v>
      </c>
      <c r="AZ3" s="40" t="n">
        <v>143</v>
      </c>
      <c r="BA3" s="40" t="n">
        <v>1170</v>
      </c>
      <c r="BB3" s="40" t="n">
        <v>13</v>
      </c>
      <c r="BC3" s="40" t="n">
        <v>25</v>
      </c>
      <c r="BD3" s="40" t="n">
        <v>22</v>
      </c>
      <c r="BE3" s="40" t="n">
        <v>47</v>
      </c>
      <c r="BF3" s="40" t="n">
        <v>25</v>
      </c>
      <c r="BG3" s="40" t="n">
        <v>0</v>
      </c>
      <c r="BH3" s="40" t="n">
        <v>1</v>
      </c>
      <c r="BI3" s="40" t="n">
        <v>25</v>
      </c>
      <c r="BJ3" s="40" t="n">
        <v>0</v>
      </c>
      <c r="BK3" s="40" t="n">
        <v>24.4</v>
      </c>
      <c r="BL3" s="40" t="n">
        <v>23.6</v>
      </c>
      <c r="BM3" s="40" t="n">
        <v>21</v>
      </c>
      <c r="BN3" s="40" t="n">
        <v>44.7</v>
      </c>
      <c r="BO3" s="40" t="n">
        <v>348</v>
      </c>
      <c r="BP3" s="40" t="n">
        <v>527</v>
      </c>
      <c r="BQ3" s="40" t="n">
        <v>1.92</v>
      </c>
      <c r="BR3" s="40" t="n">
        <v>1.69</v>
      </c>
      <c r="BS3" s="40" t="n">
        <v>3.62</v>
      </c>
      <c r="BT3" s="40" t="n">
        <v>1.92</v>
      </c>
      <c r="BU3" s="40" t="n">
        <v>3.62</v>
      </c>
      <c r="BV3" s="40" t="n">
        <v>1.88</v>
      </c>
      <c r="BW3" s="40" t="n">
        <v>1.62</v>
      </c>
      <c r="BX3" s="40" t="n">
        <v>3.5</v>
      </c>
      <c r="BY3" s="40" t="n">
        <v>1.82</v>
      </c>
      <c r="BZ3" s="40" t="n">
        <v>3.43</v>
      </c>
      <c r="CA3" s="40" t="n">
        <v>23</v>
      </c>
      <c r="CB3" s="40" t="n">
        <v>13</v>
      </c>
      <c r="CC3" s="40" t="n">
        <v>25</v>
      </c>
      <c r="CD3" s="40" t="n">
        <v>186</v>
      </c>
      <c r="CE3" s="40" t="n">
        <v>67</v>
      </c>
      <c r="CF3" s="40" t="n">
        <v>36</v>
      </c>
      <c r="CG3" s="40" t="n">
        <v>14.31</v>
      </c>
      <c r="CH3" s="40" t="n">
        <v>5.15</v>
      </c>
      <c r="CI3" s="40" t="n">
        <v>0.13</v>
      </c>
      <c r="CJ3" s="40" t="n">
        <v>0.37</v>
      </c>
      <c r="CK3" s="40" t="n">
        <v>15.9</v>
      </c>
      <c r="CL3" s="40" t="n">
        <v>4</v>
      </c>
      <c r="CM3" s="40" t="n">
        <v>0</v>
      </c>
      <c r="CN3" s="40" t="n">
        <v>1</v>
      </c>
      <c r="CO3" s="40" t="n">
        <v>24.4</v>
      </c>
      <c r="CP3" s="40" t="n">
        <v>23.6</v>
      </c>
      <c r="CQ3" s="40" t="n">
        <v>0.13</v>
      </c>
      <c r="CR3" s="40" t="n">
        <v>0.6</v>
      </c>
      <c r="CS3" s="40" t="n">
        <v>1.4</v>
      </c>
      <c r="CT3" s="40" t="n">
        <v>23</v>
      </c>
      <c r="CU3" s="40" t="n">
        <v>13</v>
      </c>
      <c r="CV3" s="40" t="n">
        <v>6585</v>
      </c>
      <c r="CW3" s="40" t="n">
        <v>7634</v>
      </c>
      <c r="CX3" s="40" t="n">
        <v>86.3</v>
      </c>
      <c r="CY3" s="40" t="n">
        <v>102815</v>
      </c>
      <c r="CZ3" s="40" t="n">
        <v>31577</v>
      </c>
      <c r="DA3" s="40" t="n">
        <v>3500</v>
      </c>
      <c r="DB3" s="40" t="n">
        <v>3773</v>
      </c>
      <c r="DC3" s="40" t="n">
        <v>92.8</v>
      </c>
      <c r="DD3" s="40" t="n">
        <v>2532</v>
      </c>
      <c r="DE3" s="40" t="n">
        <v>2808</v>
      </c>
      <c r="DF3" s="40" t="n">
        <v>90.2</v>
      </c>
      <c r="DG3" s="40" t="n">
        <v>368</v>
      </c>
      <c r="DH3" s="40" t="n">
        <v>677</v>
      </c>
      <c r="DI3" s="40" t="n">
        <v>54.4</v>
      </c>
      <c r="DJ3" s="40" t="n">
        <v>22</v>
      </c>
      <c r="DK3" s="40" t="n">
        <v>21</v>
      </c>
      <c r="DL3" s="40" t="n">
        <v>17.1</v>
      </c>
      <c r="DM3" s="40" t="n">
        <v>1</v>
      </c>
      <c r="DN3" s="40" t="n">
        <v>145</v>
      </c>
      <c r="DO3" s="40" t="n">
        <v>491</v>
      </c>
      <c r="DP3" s="40" t="n">
        <v>122</v>
      </c>
      <c r="DQ3" s="40" t="n">
        <v>21</v>
      </c>
      <c r="DR3" s="40" t="n">
        <v>527</v>
      </c>
      <c r="DS3" s="40" t="n">
        <v>23</v>
      </c>
      <c r="DT3" s="40" t="n">
        <v>13</v>
      </c>
      <c r="DU3" s="40" t="n">
        <v>7634</v>
      </c>
      <c r="DV3" s="40" t="n">
        <v>7020</v>
      </c>
      <c r="DW3" s="40" t="n">
        <v>600</v>
      </c>
      <c r="DX3" s="40" t="n">
        <v>178</v>
      </c>
      <c r="DY3" s="40" t="n">
        <v>42</v>
      </c>
      <c r="DZ3" s="40" t="n">
        <v>36</v>
      </c>
      <c r="EA3" s="40" t="n">
        <v>200</v>
      </c>
      <c r="EB3" s="40" t="n">
        <v>248</v>
      </c>
      <c r="EC3" s="40" t="n">
        <v>79</v>
      </c>
      <c r="ED3" s="40" t="n">
        <v>44</v>
      </c>
      <c r="EE3" s="40" t="n">
        <v>25</v>
      </c>
      <c r="EF3" s="40" t="n">
        <v>1</v>
      </c>
      <c r="EG3" s="40" t="n">
        <v>6585</v>
      </c>
      <c r="EH3" s="40" t="n">
        <v>14</v>
      </c>
      <c r="EI3" s="40" t="n">
        <v>130</v>
      </c>
      <c r="EJ3" s="40" t="n">
        <v>23</v>
      </c>
      <c r="EK3" s="40" t="n">
        <v>13</v>
      </c>
      <c r="EL3" s="40" t="n">
        <v>176</v>
      </c>
      <c r="EM3" s="40" t="n">
        <v>107</v>
      </c>
      <c r="EN3" s="40" t="n">
        <v>76</v>
      </c>
      <c r="EO3" s="40" t="n">
        <v>67</v>
      </c>
      <c r="EP3" s="40" t="n">
        <v>33</v>
      </c>
      <c r="EQ3" s="40" t="n">
        <v>87</v>
      </c>
      <c r="ER3" s="40" t="n">
        <v>150</v>
      </c>
      <c r="ES3" s="40" t="n">
        <v>58</v>
      </c>
      <c r="ET3" s="40" t="n">
        <v>63</v>
      </c>
      <c r="EU3" s="40" t="n">
        <v>103</v>
      </c>
      <c r="EV3" s="40" t="n">
        <v>34</v>
      </c>
      <c r="EW3" s="40" t="n">
        <v>69</v>
      </c>
      <c r="EX3" s="40" t="n">
        <v>93</v>
      </c>
      <c r="EY3" s="40" t="n">
        <v>269</v>
      </c>
      <c r="EZ3" s="40" t="n">
        <v>333</v>
      </c>
      <c r="FA3" s="40" t="n">
        <v>13</v>
      </c>
      <c r="FB3" s="40" t="n">
        <v>23</v>
      </c>
      <c r="FC3" s="40" t="n">
        <v>57.6</v>
      </c>
      <c r="FD3" s="40" t="n">
        <v>13</v>
      </c>
      <c r="FE3" s="40" t="n">
        <v>9095</v>
      </c>
      <c r="FF3" s="40" t="n">
        <v>819</v>
      </c>
      <c r="FG3" s="40" t="n">
        <v>2562</v>
      </c>
      <c r="FH3" s="40" t="n">
        <v>4132</v>
      </c>
      <c r="FI3" s="40" t="n">
        <v>2463</v>
      </c>
      <c r="FJ3" s="40" t="n">
        <v>405</v>
      </c>
      <c r="FK3" s="40" t="n">
        <v>9094</v>
      </c>
      <c r="FL3" s="40" t="n">
        <v>305</v>
      </c>
      <c r="FM3" s="40" t="n">
        <v>135</v>
      </c>
      <c r="FN3" s="40" t="n">
        <v>44.3</v>
      </c>
      <c r="FO3" s="40" t="n">
        <v>130</v>
      </c>
      <c r="FP3" s="40" t="n">
        <v>42.6</v>
      </c>
      <c r="FQ3" s="40" t="n">
        <v>5683</v>
      </c>
      <c r="FR3" s="40" t="n">
        <v>29838</v>
      </c>
      <c r="FS3" s="40" t="n">
        <v>16033</v>
      </c>
      <c r="FT3" s="40" t="n">
        <v>348</v>
      </c>
      <c r="FU3" s="40" t="n">
        <v>254</v>
      </c>
      <c r="FV3" s="40" t="n">
        <v>111</v>
      </c>
      <c r="FW3" s="40" t="n">
        <v>195</v>
      </c>
      <c r="FX3" s="40" t="n">
        <v>125</v>
      </c>
      <c r="FY3" s="40" t="n">
        <v>6535</v>
      </c>
      <c r="FZ3" s="40" t="n">
        <v>520</v>
      </c>
      <c r="GA3" s="40" t="n">
        <v>23</v>
      </c>
      <c r="GB3" s="40" t="n">
        <v>25.6</v>
      </c>
      <c r="GC3" s="40" t="n">
        <v>13</v>
      </c>
      <c r="GD3" s="40" t="n">
        <v>1170</v>
      </c>
      <c r="GE3" s="40" t="n">
        <v>90</v>
      </c>
      <c r="GF3" s="40" t="n">
        <v>100</v>
      </c>
      <c r="GG3" s="40" t="n">
        <v>13</v>
      </c>
      <c r="GH3" s="40" t="n">
        <v>143</v>
      </c>
      <c r="GI3" s="40" t="n">
        <v>83</v>
      </c>
      <c r="GJ3" s="40" t="n">
        <v>89</v>
      </c>
      <c r="GK3" s="40" t="n">
        <v>54</v>
      </c>
      <c r="GL3" s="40" t="n">
        <v>18</v>
      </c>
      <c r="GM3" s="40" t="n">
        <v>63</v>
      </c>
      <c r="GN3" s="40" t="n">
        <v>1.92</v>
      </c>
      <c r="GO3" s="40" t="n">
        <v>27</v>
      </c>
      <c r="GP3" s="40" t="n">
        <v>12</v>
      </c>
      <c r="GQ3" s="40" t="n">
        <v>15</v>
      </c>
      <c r="GR3" s="40" t="n">
        <v>1.15</v>
      </c>
      <c r="GS3" s="40" t="n">
        <v>24.4</v>
      </c>
      <c r="GT3" s="40" t="n">
        <v>14.2</v>
      </c>
      <c r="GU3" s="40" t="n">
        <v>10.2</v>
      </c>
      <c r="GV3" s="40" t="n">
        <v>0.79</v>
      </c>
      <c r="GW3" s="40" t="n">
        <v>23</v>
      </c>
      <c r="GX3" s="40" t="n">
        <v>13</v>
      </c>
      <c r="GY3" s="40" t="n">
        <v>25</v>
      </c>
      <c r="GZ3" s="40" t="n">
        <v>0</v>
      </c>
      <c r="HA3" s="40" t="n">
        <v>0</v>
      </c>
      <c r="HB3" s="40" t="n">
        <v>128</v>
      </c>
      <c r="HC3" s="40" t="n">
        <v>145</v>
      </c>
      <c r="HD3" s="40" t="n">
        <v>14</v>
      </c>
      <c r="HE3" s="40" t="n">
        <v>200</v>
      </c>
      <c r="HF3" s="40" t="n">
        <v>93</v>
      </c>
      <c r="HG3" s="40" t="n">
        <v>107</v>
      </c>
      <c r="HH3" s="40" t="n">
        <v>1</v>
      </c>
      <c r="HI3" s="40" t="n">
        <v>2</v>
      </c>
      <c r="HJ3" s="40" t="n">
        <v>0</v>
      </c>
      <c r="HK3" s="40" t="n">
        <v>492</v>
      </c>
      <c r="HL3" s="40" t="n">
        <v>175</v>
      </c>
      <c r="HM3" s="40" t="n">
        <v>136</v>
      </c>
      <c r="HN3" s="40" t="n">
        <v>56.3</v>
      </c>
      <c r="HO3" s="40" t="n">
        <v>2</v>
      </c>
      <c r="HP3" s="40" t="n">
        <v>13</v>
      </c>
      <c r="HQ3" s="40" t="n">
        <v>13</v>
      </c>
      <c r="HR3" s="40" t="n">
        <v>1170</v>
      </c>
      <c r="HS3" s="40" t="n">
        <v>13</v>
      </c>
      <c r="HT3" s="40" t="n">
        <v>12</v>
      </c>
      <c r="HU3" s="40" t="n">
        <v>0.92</v>
      </c>
      <c r="HV3" s="40" t="n">
        <v>41</v>
      </c>
      <c r="HW3" s="40" t="n">
        <v>28</v>
      </c>
      <c r="HX3" s="40" t="n">
        <v>73.2</v>
      </c>
      <c r="HY3" s="40" t="n">
        <v>8</v>
      </c>
      <c r="HZ3" s="40" t="n">
        <v>1</v>
      </c>
      <c r="IA3" s="40" t="n">
        <v>4</v>
      </c>
      <c r="IB3" s="40" t="n">
        <v>5</v>
      </c>
      <c r="IC3" s="40" t="n">
        <v>38.5</v>
      </c>
      <c r="ID3" s="40" t="n">
        <v>2</v>
      </c>
      <c r="IE3" s="40" t="n">
        <v>1</v>
      </c>
      <c r="IF3" s="40" t="n">
        <v>1</v>
      </c>
      <c r="IG3" s="40" t="n">
        <v>0</v>
      </c>
      <c r="IH3" s="40" t="n">
        <v>50</v>
      </c>
      <c r="II3" s="40" t="n">
        <v>2</v>
      </c>
      <c r="IJ3" s="40" t="n">
        <v>13</v>
      </c>
      <c r="IK3" s="40" t="n">
        <v>12</v>
      </c>
      <c r="IL3" s="40" t="n">
        <v>1</v>
      </c>
      <c r="IM3" s="40" t="n">
        <v>0</v>
      </c>
      <c r="IN3" s="40" t="n">
        <v>3</v>
      </c>
      <c r="IO3" s="40" t="n">
        <v>0</v>
      </c>
      <c r="IP3" s="40" t="n">
        <v>14.6</v>
      </c>
      <c r="IQ3" s="40" t="n">
        <v>0.31</v>
      </c>
      <c r="IR3" s="40" t="n">
        <v>2.6</v>
      </c>
      <c r="IS3" s="40" t="n">
        <v>0.2</v>
      </c>
      <c r="IT3" s="40" t="n">
        <v>35</v>
      </c>
      <c r="IU3" s="40" t="n">
        <v>115</v>
      </c>
      <c r="IV3" s="40" t="n">
        <v>30.4</v>
      </c>
      <c r="IW3" s="40" t="n">
        <v>326</v>
      </c>
      <c r="IX3" s="40" t="n">
        <v>44</v>
      </c>
      <c r="IY3" s="40" t="n">
        <v>27.6</v>
      </c>
      <c r="IZ3" s="40" t="n">
        <v>28.5</v>
      </c>
      <c r="JA3" s="40" t="n">
        <v>70</v>
      </c>
      <c r="JB3" s="40" t="n">
        <v>35.7</v>
      </c>
      <c r="JC3" s="40" t="n">
        <v>31.6</v>
      </c>
      <c r="JD3" s="40" t="n">
        <v>147</v>
      </c>
      <c r="JE3" s="40" t="n">
        <v>9</v>
      </c>
      <c r="JF3" s="40" t="n">
        <v>6.1</v>
      </c>
      <c r="JG3" s="40" t="n">
        <v>19</v>
      </c>
      <c r="JH3" s="40" t="n">
        <v>1.46</v>
      </c>
      <c r="JI3" s="40" t="n">
        <v>10.5</v>
      </c>
      <c r="JJ3" s="40" t="n">
        <v>13</v>
      </c>
      <c r="JK3" s="40" t="n">
        <v>24.4</v>
      </c>
      <c r="JL3" s="40" t="n">
        <v>57.6</v>
      </c>
      <c r="JM3" s="40" t="n">
        <v>186</v>
      </c>
      <c r="JN3" s="40" t="n">
        <v>67</v>
      </c>
      <c r="JO3" s="40" t="n">
        <v>36</v>
      </c>
      <c r="JP3" s="40" t="n">
        <v>23.6</v>
      </c>
      <c r="JQ3" s="40" t="n">
        <v>6585</v>
      </c>
      <c r="JR3" s="40" t="n">
        <v>7634</v>
      </c>
      <c r="JS3" s="40" t="n">
        <v>86.3</v>
      </c>
      <c r="JT3" s="40" t="n">
        <v>176</v>
      </c>
      <c r="JU3" s="40" t="n">
        <v>107</v>
      </c>
      <c r="JV3" s="40" t="n">
        <v>93</v>
      </c>
      <c r="JW3" s="40" t="n">
        <v>333</v>
      </c>
      <c r="JX3" s="40" t="n">
        <v>128</v>
      </c>
      <c r="JY3" s="40" t="n">
        <v>145</v>
      </c>
      <c r="JZ3" s="40" t="n">
        <v>25</v>
      </c>
      <c r="KA3" s="40" t="n">
        <v>0</v>
      </c>
      <c r="KB3" s="40" t="n">
        <v>38.4615384615</v>
      </c>
      <c r="KC3" s="40" t="n">
        <v>36.0215053763</v>
      </c>
      <c r="KD3" s="40" t="n">
        <v>86.3</v>
      </c>
      <c r="KE3" s="40" t="n">
        <v>60.7954545455</v>
      </c>
    </row>
    <row r="4">
      <c r="A4" s="40" t="inlineStr">
        <is>
          <t>Chelsea</t>
        </is>
      </c>
      <c r="B4" s="40" t="n">
        <v>3</v>
      </c>
      <c r="C4" s="40" t="n">
        <v>13</v>
      </c>
      <c r="D4" s="40" t="n">
        <v>7</v>
      </c>
      <c r="E4" s="40" t="n">
        <v>3</v>
      </c>
      <c r="F4" s="40" t="n">
        <v>3</v>
      </c>
      <c r="G4" s="40" t="n">
        <v>24</v>
      </c>
      <c r="H4" s="40" t="n">
        <v>12</v>
      </c>
      <c r="I4" s="40" t="n">
        <v>12</v>
      </c>
      <c r="J4" s="40" t="n">
        <v>24</v>
      </c>
      <c r="K4" s="40" t="n">
        <v>1.85</v>
      </c>
      <c r="L4" s="40" t="n">
        <v>22.9</v>
      </c>
      <c r="M4" s="40" t="n">
        <v>14.9</v>
      </c>
      <c r="N4" s="40" t="n">
        <v>8</v>
      </c>
      <c r="O4" s="40" t="n">
        <v>0.61</v>
      </c>
      <c r="P4" s="40" t="inlineStr">
        <is>
          <t>L W W W D</t>
        </is>
      </c>
      <c r="Q4" s="40" t="n">
        <v>39586</v>
      </c>
      <c r="R4" s="40" t="inlineStr">
        <is>
          <t>Pedro Neto, João Pedro... - 4</t>
        </is>
      </c>
      <c r="S4" s="40" t="inlineStr">
        <is>
          <t>Robert Sánchez</t>
        </is>
      </c>
      <c r="T4" s="40" t="n">
        <v/>
      </c>
      <c r="U4" s="40" t="n">
        <v>3</v>
      </c>
      <c r="V4" s="40" t="n">
        <v>7</v>
      </c>
      <c r="W4" s="40" t="n">
        <v>3</v>
      </c>
      <c r="X4" s="40" t="n">
        <v>2</v>
      </c>
      <c r="Y4" s="40" t="n">
        <v>2</v>
      </c>
      <c r="Z4" s="40" t="n">
        <v>10</v>
      </c>
      <c r="AA4" s="40" t="n">
        <v>7</v>
      </c>
      <c r="AB4" s="40" t="n">
        <v>3</v>
      </c>
      <c r="AC4" s="40" t="n">
        <v>11</v>
      </c>
      <c r="AD4" s="40" t="n">
        <v>1.57</v>
      </c>
      <c r="AE4" s="40" t="n">
        <v>11.5</v>
      </c>
      <c r="AF4" s="40" t="n">
        <v>8.300000000000001</v>
      </c>
      <c r="AG4" s="40" t="n">
        <v>3.2</v>
      </c>
      <c r="AH4" s="40" t="n">
        <v>0.46</v>
      </c>
      <c r="AI4" s="40" t="n">
        <v>6</v>
      </c>
      <c r="AJ4" s="40" t="n">
        <v>4</v>
      </c>
      <c r="AK4" s="40" t="n">
        <v>1</v>
      </c>
      <c r="AL4" s="40" t="n">
        <v>1</v>
      </c>
      <c r="AM4" s="40" t="n">
        <v>14</v>
      </c>
      <c r="AN4" s="40" t="n">
        <v>5</v>
      </c>
      <c r="AO4" s="40" t="n">
        <v>9</v>
      </c>
      <c r="AP4" s="40" t="n">
        <v>13</v>
      </c>
      <c r="AQ4" s="40" t="n">
        <v>2.17</v>
      </c>
      <c r="AR4" s="40" t="n">
        <v>11.4</v>
      </c>
      <c r="AS4" s="40" t="n">
        <v>6.6</v>
      </c>
      <c r="AT4" s="40" t="n">
        <v>4.8</v>
      </c>
      <c r="AU4" s="40" t="n">
        <v>0.8</v>
      </c>
      <c r="AV4" s="40" t="n">
        <v>25</v>
      </c>
      <c r="AW4" s="40" t="n">
        <v>24.6</v>
      </c>
      <c r="AX4" s="40" t="n">
        <v>57.4</v>
      </c>
      <c r="AY4" s="40" t="n">
        <v>13</v>
      </c>
      <c r="AZ4" s="40" t="n">
        <v>143</v>
      </c>
      <c r="BA4" s="40" t="n">
        <v>1170</v>
      </c>
      <c r="BB4" s="40" t="n">
        <v>13</v>
      </c>
      <c r="BC4" s="40" t="n">
        <v>24</v>
      </c>
      <c r="BD4" s="40" t="n">
        <v>18</v>
      </c>
      <c r="BE4" s="40" t="n">
        <v>42</v>
      </c>
      <c r="BF4" s="40" t="n">
        <v>23</v>
      </c>
      <c r="BG4" s="40" t="n">
        <v>1</v>
      </c>
      <c r="BH4" s="40" t="n">
        <v>1</v>
      </c>
      <c r="BI4" s="40" t="n">
        <v>27</v>
      </c>
      <c r="BJ4" s="40" t="n">
        <v>4</v>
      </c>
      <c r="BK4" s="40" t="n">
        <v>22.9</v>
      </c>
      <c r="BL4" s="40" t="n">
        <v>22.1</v>
      </c>
      <c r="BM4" s="40" t="n">
        <v>18.4</v>
      </c>
      <c r="BN4" s="40" t="n">
        <v>40.5</v>
      </c>
      <c r="BO4" s="40" t="n">
        <v>259</v>
      </c>
      <c r="BP4" s="40" t="n">
        <v>517</v>
      </c>
      <c r="BQ4" s="40" t="n">
        <v>1.85</v>
      </c>
      <c r="BR4" s="40" t="n">
        <v>1.38</v>
      </c>
      <c r="BS4" s="40" t="n">
        <v>3.23</v>
      </c>
      <c r="BT4" s="40" t="n">
        <v>1.77</v>
      </c>
      <c r="BU4" s="40" t="n">
        <v>3.15</v>
      </c>
      <c r="BV4" s="40" t="n">
        <v>1.76</v>
      </c>
      <c r="BW4" s="40" t="n">
        <v>1.42</v>
      </c>
      <c r="BX4" s="40" t="n">
        <v>3.18</v>
      </c>
      <c r="BY4" s="40" t="n">
        <v>1.7</v>
      </c>
      <c r="BZ4" s="40" t="n">
        <v>3.12</v>
      </c>
      <c r="CA4" s="40" t="n">
        <v>25</v>
      </c>
      <c r="CB4" s="40" t="n">
        <v>13</v>
      </c>
      <c r="CC4" s="40" t="n">
        <v>24</v>
      </c>
      <c r="CD4" s="40" t="n">
        <v>183</v>
      </c>
      <c r="CE4" s="40" t="n">
        <v>69</v>
      </c>
      <c r="CF4" s="40" t="n">
        <v>37.7</v>
      </c>
      <c r="CG4" s="40" t="n">
        <v>14.08</v>
      </c>
      <c r="CH4" s="40" t="n">
        <v>5.31</v>
      </c>
      <c r="CI4" s="40" t="n">
        <v>0.13</v>
      </c>
      <c r="CJ4" s="40" t="n">
        <v>0.33</v>
      </c>
      <c r="CK4" s="40" t="n">
        <v>16.7</v>
      </c>
      <c r="CL4" s="40" t="n">
        <v>7</v>
      </c>
      <c r="CM4" s="40" t="n">
        <v>1</v>
      </c>
      <c r="CN4" s="40" t="n">
        <v>1</v>
      </c>
      <c r="CO4" s="40" t="n">
        <v>22.9</v>
      </c>
      <c r="CP4" s="40" t="n">
        <v>22.1</v>
      </c>
      <c r="CQ4" s="40" t="n">
        <v>0.12</v>
      </c>
      <c r="CR4" s="40" t="n">
        <v>1.1</v>
      </c>
      <c r="CS4" s="40" t="n">
        <v>0.9</v>
      </c>
      <c r="CT4" s="40" t="n">
        <v>25</v>
      </c>
      <c r="CU4" s="40" t="n">
        <v>13</v>
      </c>
      <c r="CV4" s="40" t="n">
        <v>6055</v>
      </c>
      <c r="CW4" s="40" t="n">
        <v>7202</v>
      </c>
      <c r="CX4" s="40" t="n">
        <v>84.09999999999999</v>
      </c>
      <c r="CY4" s="40" t="n">
        <v>104282</v>
      </c>
      <c r="CZ4" s="40" t="n">
        <v>32731</v>
      </c>
      <c r="DA4" s="40" t="n">
        <v>2820</v>
      </c>
      <c r="DB4" s="40" t="n">
        <v>3074</v>
      </c>
      <c r="DC4" s="40" t="n">
        <v>91.7</v>
      </c>
      <c r="DD4" s="40" t="n">
        <v>2681</v>
      </c>
      <c r="DE4" s="40" t="n">
        <v>2971</v>
      </c>
      <c r="DF4" s="40" t="n">
        <v>90.2</v>
      </c>
      <c r="DG4" s="40" t="n">
        <v>450</v>
      </c>
      <c r="DH4" s="40" t="n">
        <v>890</v>
      </c>
      <c r="DI4" s="40" t="n">
        <v>50.6</v>
      </c>
      <c r="DJ4" s="40" t="n">
        <v>18</v>
      </c>
      <c r="DK4" s="40" t="n">
        <v>18.4</v>
      </c>
      <c r="DL4" s="40" t="n">
        <v>15.2</v>
      </c>
      <c r="DM4" s="40" t="n">
        <v>-0.4</v>
      </c>
      <c r="DN4" s="40" t="n">
        <v>138</v>
      </c>
      <c r="DO4" s="40" t="n">
        <v>453</v>
      </c>
      <c r="DP4" s="40" t="n">
        <v>105</v>
      </c>
      <c r="DQ4" s="40" t="n">
        <v>16</v>
      </c>
      <c r="DR4" s="40" t="n">
        <v>517</v>
      </c>
      <c r="DS4" s="40" t="n">
        <v>25</v>
      </c>
      <c r="DT4" s="40" t="n">
        <v>13</v>
      </c>
      <c r="DU4" s="40" t="n">
        <v>7202</v>
      </c>
      <c r="DV4" s="40" t="n">
        <v>6584</v>
      </c>
      <c r="DW4" s="40" t="n">
        <v>593</v>
      </c>
      <c r="DX4" s="40" t="n">
        <v>177</v>
      </c>
      <c r="DY4" s="40" t="n">
        <v>34</v>
      </c>
      <c r="DZ4" s="40" t="n">
        <v>25</v>
      </c>
      <c r="EA4" s="40" t="n">
        <v>228</v>
      </c>
      <c r="EB4" s="40" t="n">
        <v>216</v>
      </c>
      <c r="EC4" s="40" t="n">
        <v>83</v>
      </c>
      <c r="ED4" s="40" t="n">
        <v>55</v>
      </c>
      <c r="EE4" s="40" t="n">
        <v>3</v>
      </c>
      <c r="EF4" s="40" t="n">
        <v>0</v>
      </c>
      <c r="EG4" s="40" t="n">
        <v>6055</v>
      </c>
      <c r="EH4" s="40" t="n">
        <v>25</v>
      </c>
      <c r="EI4" s="40" t="n">
        <v>86</v>
      </c>
      <c r="EJ4" s="40" t="n">
        <v>25</v>
      </c>
      <c r="EK4" s="40" t="n">
        <v>13</v>
      </c>
      <c r="EL4" s="40" t="n">
        <v>204</v>
      </c>
      <c r="EM4" s="40" t="n">
        <v>124</v>
      </c>
      <c r="EN4" s="40" t="n">
        <v>89</v>
      </c>
      <c r="EO4" s="40" t="n">
        <v>82</v>
      </c>
      <c r="EP4" s="40" t="n">
        <v>33</v>
      </c>
      <c r="EQ4" s="40" t="n">
        <v>105</v>
      </c>
      <c r="ER4" s="40" t="n">
        <v>174</v>
      </c>
      <c r="ES4" s="40" t="n">
        <v>60.3</v>
      </c>
      <c r="ET4" s="40" t="n">
        <v>69</v>
      </c>
      <c r="EU4" s="40" t="n">
        <v>108</v>
      </c>
      <c r="EV4" s="40" t="n">
        <v>32</v>
      </c>
      <c r="EW4" s="40" t="n">
        <v>76</v>
      </c>
      <c r="EX4" s="40" t="n">
        <v>135</v>
      </c>
      <c r="EY4" s="40" t="n">
        <v>339</v>
      </c>
      <c r="EZ4" s="40" t="n">
        <v>267</v>
      </c>
      <c r="FA4" s="40" t="n">
        <v>11</v>
      </c>
      <c r="FB4" s="40" t="n">
        <v>25</v>
      </c>
      <c r="FC4" s="40" t="n">
        <v>57.4</v>
      </c>
      <c r="FD4" s="40" t="n">
        <v>13</v>
      </c>
      <c r="FE4" s="40" t="n">
        <v>8607</v>
      </c>
      <c r="FF4" s="40" t="n">
        <v>839</v>
      </c>
      <c r="FG4" s="40" t="n">
        <v>2623</v>
      </c>
      <c r="FH4" s="40" t="n">
        <v>4040</v>
      </c>
      <c r="FI4" s="40" t="n">
        <v>2028</v>
      </c>
      <c r="FJ4" s="40" t="n">
        <v>320</v>
      </c>
      <c r="FK4" s="40" t="n">
        <v>8606</v>
      </c>
      <c r="FL4" s="40" t="n">
        <v>263</v>
      </c>
      <c r="FM4" s="40" t="n">
        <v>104</v>
      </c>
      <c r="FN4" s="40" t="n">
        <v>39.5</v>
      </c>
      <c r="FO4" s="40" t="n">
        <v>121</v>
      </c>
      <c r="FP4" s="40" t="n">
        <v>46</v>
      </c>
      <c r="FQ4" s="40" t="n">
        <v>5363</v>
      </c>
      <c r="FR4" s="40" t="n">
        <v>25464</v>
      </c>
      <c r="FS4" s="40" t="n">
        <v>13530</v>
      </c>
      <c r="FT4" s="40" t="n">
        <v>259</v>
      </c>
      <c r="FU4" s="40" t="n">
        <v>147</v>
      </c>
      <c r="FV4" s="40" t="n">
        <v>75</v>
      </c>
      <c r="FW4" s="40" t="n">
        <v>197</v>
      </c>
      <c r="FX4" s="40" t="n">
        <v>114</v>
      </c>
      <c r="FY4" s="40" t="n">
        <v>5992</v>
      </c>
      <c r="FZ4" s="40" t="n">
        <v>508</v>
      </c>
      <c r="GA4" s="40" t="n">
        <v>25</v>
      </c>
      <c r="GB4" s="40" t="n">
        <v>24.6</v>
      </c>
      <c r="GC4" s="40" t="n">
        <v>13</v>
      </c>
      <c r="GD4" s="40" t="n">
        <v>1170</v>
      </c>
      <c r="GE4" s="40" t="n">
        <v>90</v>
      </c>
      <c r="GF4" s="40" t="n">
        <v>100</v>
      </c>
      <c r="GG4" s="40" t="n">
        <v>13</v>
      </c>
      <c r="GH4" s="40" t="n">
        <v>143</v>
      </c>
      <c r="GI4" s="40" t="n">
        <v>78</v>
      </c>
      <c r="GJ4" s="40" t="n">
        <v>84</v>
      </c>
      <c r="GK4" s="40" t="n">
        <v>56</v>
      </c>
      <c r="GL4" s="40" t="n">
        <v>27</v>
      </c>
      <c r="GM4" s="40" t="n">
        <v>61</v>
      </c>
      <c r="GN4" s="40" t="n">
        <v>1.85</v>
      </c>
      <c r="GO4" s="40" t="n">
        <v>24</v>
      </c>
      <c r="GP4" s="40" t="n">
        <v>12</v>
      </c>
      <c r="GQ4" s="40" t="n">
        <v>12</v>
      </c>
      <c r="GR4" s="40" t="n">
        <v>0.92</v>
      </c>
      <c r="GS4" s="40" t="n">
        <v>22.9</v>
      </c>
      <c r="GT4" s="40" t="n">
        <v>14.9</v>
      </c>
      <c r="GU4" s="40" t="n">
        <v>8</v>
      </c>
      <c r="GV4" s="40" t="n">
        <v>0.61</v>
      </c>
      <c r="GW4" s="40" t="n">
        <v>25</v>
      </c>
      <c r="GX4" s="40" t="n">
        <v>13</v>
      </c>
      <c r="GY4" s="40" t="n">
        <v>27</v>
      </c>
      <c r="GZ4" s="40" t="n">
        <v>4</v>
      </c>
      <c r="HA4" s="40" t="n">
        <v>1</v>
      </c>
      <c r="HB4" s="40" t="n">
        <v>147</v>
      </c>
      <c r="HC4" s="40" t="n">
        <v>161</v>
      </c>
      <c r="HD4" s="40" t="n">
        <v>25</v>
      </c>
      <c r="HE4" s="40" t="n">
        <v>228</v>
      </c>
      <c r="HF4" s="40" t="n">
        <v>135</v>
      </c>
      <c r="HG4" s="40" t="n">
        <v>124</v>
      </c>
      <c r="HH4" s="40" t="n">
        <v>0</v>
      </c>
      <c r="HI4" s="40" t="n">
        <v>0</v>
      </c>
      <c r="HJ4" s="40" t="n">
        <v>0</v>
      </c>
      <c r="HK4" s="40" t="n">
        <v>502</v>
      </c>
      <c r="HL4" s="40" t="n">
        <v>187</v>
      </c>
      <c r="HM4" s="40" t="n">
        <v>152</v>
      </c>
      <c r="HN4" s="40" t="n">
        <v>55.2</v>
      </c>
      <c r="HO4" s="40" t="n">
        <v>2</v>
      </c>
      <c r="HP4" s="40" t="n">
        <v>13</v>
      </c>
      <c r="HQ4" s="40" t="n">
        <v>13</v>
      </c>
      <c r="HR4" s="40" t="n">
        <v>1168</v>
      </c>
      <c r="HS4" s="40" t="n">
        <v>13</v>
      </c>
      <c r="HT4" s="40" t="n">
        <v>12</v>
      </c>
      <c r="HU4" s="40" t="n">
        <v>0.92</v>
      </c>
      <c r="HV4" s="40" t="n">
        <v>35</v>
      </c>
      <c r="HW4" s="40" t="n">
        <v>23</v>
      </c>
      <c r="HX4" s="40" t="n">
        <v>65.7</v>
      </c>
      <c r="HY4" s="40" t="n">
        <v>7</v>
      </c>
      <c r="HZ4" s="40" t="n">
        <v>3</v>
      </c>
      <c r="IA4" s="40" t="n">
        <v>3</v>
      </c>
      <c r="IB4" s="40" t="n">
        <v>6</v>
      </c>
      <c r="IC4" s="40" t="n">
        <v>46.2</v>
      </c>
      <c r="ID4" s="40" t="n">
        <v>0</v>
      </c>
      <c r="IE4" s="40" t="n">
        <v>0</v>
      </c>
      <c r="IF4" s="40" t="n">
        <v>0</v>
      </c>
      <c r="IG4" s="40" t="n">
        <v>0</v>
      </c>
      <c r="IH4" s="40" t="n">
        <v/>
      </c>
      <c r="II4" s="40" t="n">
        <v>2</v>
      </c>
      <c r="IJ4" s="40" t="n">
        <v>13</v>
      </c>
      <c r="IK4" s="40" t="n">
        <v>12</v>
      </c>
      <c r="IL4" s="40" t="n">
        <v>0</v>
      </c>
      <c r="IM4" s="40" t="n">
        <v>0</v>
      </c>
      <c r="IN4" s="40" t="n">
        <v>2</v>
      </c>
      <c r="IO4" s="40" t="n">
        <v>0</v>
      </c>
      <c r="IP4" s="40" t="n">
        <v>11.8</v>
      </c>
      <c r="IQ4" s="40" t="n">
        <v>0.34</v>
      </c>
      <c r="IR4" s="40" t="n">
        <v>-0.2</v>
      </c>
      <c r="IS4" s="40" t="n">
        <v>-0.01</v>
      </c>
      <c r="IT4" s="40" t="n">
        <v>61</v>
      </c>
      <c r="IU4" s="40" t="n">
        <v>215</v>
      </c>
      <c r="IV4" s="40" t="n">
        <v>28.4</v>
      </c>
      <c r="IW4" s="40" t="n">
        <v>455</v>
      </c>
      <c r="IX4" s="40" t="n">
        <v>62</v>
      </c>
      <c r="IY4" s="40" t="n">
        <v>38.5</v>
      </c>
      <c r="IZ4" s="40" t="n">
        <v>34.5</v>
      </c>
      <c r="JA4" s="40" t="n">
        <v>92</v>
      </c>
      <c r="JB4" s="40" t="n">
        <v>43.5</v>
      </c>
      <c r="JC4" s="40" t="n">
        <v>37.3</v>
      </c>
      <c r="JD4" s="40" t="n">
        <v>147</v>
      </c>
      <c r="JE4" s="40" t="n">
        <v>22</v>
      </c>
      <c r="JF4" s="40" t="n">
        <v>15</v>
      </c>
      <c r="JG4" s="40" t="n">
        <v>12</v>
      </c>
      <c r="JH4" s="40" t="n">
        <v>0.92</v>
      </c>
      <c r="JI4" s="40" t="n">
        <v>12.5</v>
      </c>
      <c r="JJ4" s="40" t="n">
        <v>13</v>
      </c>
      <c r="JK4" s="40" t="n">
        <v>22.9</v>
      </c>
      <c r="JL4" s="40" t="n">
        <v>57.4</v>
      </c>
      <c r="JM4" s="40" t="n">
        <v>183</v>
      </c>
      <c r="JN4" s="40" t="n">
        <v>69</v>
      </c>
      <c r="JO4" s="40" t="n">
        <v>37.7</v>
      </c>
      <c r="JP4" s="40" t="n">
        <v>22.1</v>
      </c>
      <c r="JQ4" s="40" t="n">
        <v>6055</v>
      </c>
      <c r="JR4" s="40" t="n">
        <v>7202</v>
      </c>
      <c r="JS4" s="40" t="n">
        <v>84.09999999999999</v>
      </c>
      <c r="JT4" s="40" t="n">
        <v>204</v>
      </c>
      <c r="JU4" s="40" t="n">
        <v>124</v>
      </c>
      <c r="JV4" s="40" t="n">
        <v>135</v>
      </c>
      <c r="JW4" s="40" t="n">
        <v>267</v>
      </c>
      <c r="JX4" s="40" t="n">
        <v>147</v>
      </c>
      <c r="JY4" s="40" t="n">
        <v>161</v>
      </c>
      <c r="JZ4" s="40" t="n">
        <v>27</v>
      </c>
      <c r="KA4" s="40" t="n">
        <v>4</v>
      </c>
      <c r="KB4" s="40" t="n">
        <v>46.1538461538</v>
      </c>
      <c r="KC4" s="40" t="n">
        <v>37.7049180328</v>
      </c>
      <c r="KD4" s="40" t="n">
        <v>84.09999999999999</v>
      </c>
      <c r="KE4" s="40" t="n">
        <v>60.7843137255</v>
      </c>
    </row>
    <row r="5">
      <c r="A5" s="40" t="inlineStr">
        <is>
          <t>Aston Villa</t>
        </is>
      </c>
      <c r="B5" s="40" t="n">
        <v>4</v>
      </c>
      <c r="C5" s="40" t="n">
        <v>13</v>
      </c>
      <c r="D5" s="40" t="n">
        <v>7</v>
      </c>
      <c r="E5" s="40" t="n">
        <v>3</v>
      </c>
      <c r="F5" s="40" t="n">
        <v>3</v>
      </c>
      <c r="G5" s="40" t="n">
        <v>16</v>
      </c>
      <c r="H5" s="40" t="n">
        <v>11</v>
      </c>
      <c r="I5" s="40" t="n">
        <v>5</v>
      </c>
      <c r="J5" s="40" t="n">
        <v>24</v>
      </c>
      <c r="K5" s="40" t="n">
        <v>1.85</v>
      </c>
      <c r="L5" s="40" t="n">
        <v>11.6</v>
      </c>
      <c r="M5" s="40" t="n">
        <v>16.6</v>
      </c>
      <c r="N5" s="40" t="n">
        <v>-5</v>
      </c>
      <c r="O5" s="40" t="n">
        <v>-0.38</v>
      </c>
      <c r="P5" s="40" t="inlineStr">
        <is>
          <t>W L W W W</t>
        </is>
      </c>
      <c r="Q5" s="40" t="n">
        <v>41306</v>
      </c>
      <c r="R5" s="40" t="inlineStr">
        <is>
          <t>Emi Buendía, Donyell Malen... - 3</t>
        </is>
      </c>
      <c r="S5" s="40" t="inlineStr">
        <is>
          <t>Emiliano Martínez</t>
        </is>
      </c>
      <c r="T5" s="40" t="n">
        <v/>
      </c>
      <c r="U5" s="40" t="n">
        <v>4</v>
      </c>
      <c r="V5" s="40" t="n">
        <v>7</v>
      </c>
      <c r="W5" s="40" t="n">
        <v>5</v>
      </c>
      <c r="X5" s="40" t="n">
        <v>1</v>
      </c>
      <c r="Y5" s="40" t="n">
        <v>1</v>
      </c>
      <c r="Z5" s="40" t="n">
        <v>11</v>
      </c>
      <c r="AA5" s="40" t="n">
        <v>5</v>
      </c>
      <c r="AB5" s="40" t="n">
        <v>6</v>
      </c>
      <c r="AC5" s="40" t="n">
        <v>16</v>
      </c>
      <c r="AD5" s="40" t="n">
        <v>2.29</v>
      </c>
      <c r="AE5" s="40" t="n">
        <v>6.9</v>
      </c>
      <c r="AF5" s="40" t="n">
        <v>8.699999999999999</v>
      </c>
      <c r="AG5" s="40" t="n">
        <v>-1.8</v>
      </c>
      <c r="AH5" s="40" t="n">
        <v>-0.25</v>
      </c>
      <c r="AI5" s="40" t="n">
        <v>6</v>
      </c>
      <c r="AJ5" s="40" t="n">
        <v>2</v>
      </c>
      <c r="AK5" s="40" t="n">
        <v>2</v>
      </c>
      <c r="AL5" s="40" t="n">
        <v>2</v>
      </c>
      <c r="AM5" s="40" t="n">
        <v>5</v>
      </c>
      <c r="AN5" s="40" t="n">
        <v>6</v>
      </c>
      <c r="AO5" s="40" t="n">
        <v>-1</v>
      </c>
      <c r="AP5" s="40" t="n">
        <v>8</v>
      </c>
      <c r="AQ5" s="40" t="n">
        <v>1.33</v>
      </c>
      <c r="AR5" s="40" t="n">
        <v>4.7</v>
      </c>
      <c r="AS5" s="40" t="n">
        <v>7.9</v>
      </c>
      <c r="AT5" s="40" t="n">
        <v>-3.2</v>
      </c>
      <c r="AU5" s="40" t="n">
        <v>-0.53</v>
      </c>
      <c r="AV5" s="40" t="n">
        <v>23</v>
      </c>
      <c r="AW5" s="40" t="n">
        <v>28.4</v>
      </c>
      <c r="AX5" s="40" t="n">
        <v>53.5</v>
      </c>
      <c r="AY5" s="40" t="n">
        <v>13</v>
      </c>
      <c r="AZ5" s="40" t="n">
        <v>143</v>
      </c>
      <c r="BA5" s="40" t="n">
        <v>1170</v>
      </c>
      <c r="BB5" s="40" t="n">
        <v>13</v>
      </c>
      <c r="BC5" s="40" t="n">
        <v>16</v>
      </c>
      <c r="BD5" s="40" t="n">
        <v>12</v>
      </c>
      <c r="BE5" s="40" t="n">
        <v>28</v>
      </c>
      <c r="BF5" s="40" t="n">
        <v>16</v>
      </c>
      <c r="BG5" s="40" t="n">
        <v>0</v>
      </c>
      <c r="BH5" s="40" t="n">
        <v>0</v>
      </c>
      <c r="BI5" s="40" t="n">
        <v>20</v>
      </c>
      <c r="BJ5" s="40" t="n">
        <v>1</v>
      </c>
      <c r="BK5" s="40" t="n">
        <v>11.6</v>
      </c>
      <c r="BL5" s="40" t="n">
        <v>11.6</v>
      </c>
      <c r="BM5" s="40" t="n">
        <v>9.300000000000001</v>
      </c>
      <c r="BN5" s="40" t="n">
        <v>20.9</v>
      </c>
      <c r="BO5" s="40" t="n">
        <v>190</v>
      </c>
      <c r="BP5" s="40" t="n">
        <v>477</v>
      </c>
      <c r="BQ5" s="40" t="n">
        <v>1.23</v>
      </c>
      <c r="BR5" s="40" t="n">
        <v>0.92</v>
      </c>
      <c r="BS5" s="40" t="n">
        <v>2.15</v>
      </c>
      <c r="BT5" s="40" t="n">
        <v>1.23</v>
      </c>
      <c r="BU5" s="40" t="n">
        <v>2.15</v>
      </c>
      <c r="BV5" s="40" t="n">
        <v>0.89</v>
      </c>
      <c r="BW5" s="40" t="n">
        <v>0.71</v>
      </c>
      <c r="BX5" s="40" t="n">
        <v>1.61</v>
      </c>
      <c r="BY5" s="40" t="n">
        <v>0.89</v>
      </c>
      <c r="BZ5" s="40" t="n">
        <v>1.61</v>
      </c>
      <c r="CA5" s="40" t="n">
        <v>23</v>
      </c>
      <c r="CB5" s="40" t="n">
        <v>13</v>
      </c>
      <c r="CC5" s="40" t="n">
        <v>16</v>
      </c>
      <c r="CD5" s="40" t="n">
        <v>149</v>
      </c>
      <c r="CE5" s="40" t="n">
        <v>48</v>
      </c>
      <c r="CF5" s="40" t="n">
        <v>32.2</v>
      </c>
      <c r="CG5" s="40" t="n">
        <v>11.46</v>
      </c>
      <c r="CH5" s="40" t="n">
        <v>3.69</v>
      </c>
      <c r="CI5" s="40" t="n">
        <v>0.11</v>
      </c>
      <c r="CJ5" s="40" t="n">
        <v>0.33</v>
      </c>
      <c r="CK5" s="40" t="n">
        <v>18.1</v>
      </c>
      <c r="CL5" s="40" t="n">
        <v>6</v>
      </c>
      <c r="CM5" s="40" t="n">
        <v>0</v>
      </c>
      <c r="CN5" s="40" t="n">
        <v>0</v>
      </c>
      <c r="CO5" s="40" t="n">
        <v>11.6</v>
      </c>
      <c r="CP5" s="40" t="n">
        <v>11.6</v>
      </c>
      <c r="CQ5" s="40" t="n">
        <v>0.08</v>
      </c>
      <c r="CR5" s="40" t="n">
        <v>4.4</v>
      </c>
      <c r="CS5" s="40" t="n">
        <v>4.4</v>
      </c>
      <c r="CT5" s="40" t="n">
        <v>23</v>
      </c>
      <c r="CU5" s="40" t="n">
        <v>13</v>
      </c>
      <c r="CV5" s="40" t="n">
        <v>5095</v>
      </c>
      <c r="CW5" s="40" t="n">
        <v>6201</v>
      </c>
      <c r="CX5" s="40" t="n">
        <v>82.2</v>
      </c>
      <c r="CY5" s="40" t="n">
        <v>89952</v>
      </c>
      <c r="CZ5" s="40" t="n">
        <v>30572</v>
      </c>
      <c r="DA5" s="40" t="n">
        <v>2237</v>
      </c>
      <c r="DB5" s="40" t="n">
        <v>2458</v>
      </c>
      <c r="DC5" s="40" t="n">
        <v>91</v>
      </c>
      <c r="DD5" s="40" t="n">
        <v>2306</v>
      </c>
      <c r="DE5" s="40" t="n">
        <v>2595</v>
      </c>
      <c r="DF5" s="40" t="n">
        <v>88.90000000000001</v>
      </c>
      <c r="DG5" s="40" t="n">
        <v>444</v>
      </c>
      <c r="DH5" s="40" t="n">
        <v>852</v>
      </c>
      <c r="DI5" s="40" t="n">
        <v>52.1</v>
      </c>
      <c r="DJ5" s="40" t="n">
        <v>12</v>
      </c>
      <c r="DK5" s="40" t="n">
        <v>9.300000000000001</v>
      </c>
      <c r="DL5" s="40" t="n">
        <v>9.6</v>
      </c>
      <c r="DM5" s="40" t="n">
        <v>2.7</v>
      </c>
      <c r="DN5" s="40" t="n">
        <v>112</v>
      </c>
      <c r="DO5" s="40" t="n">
        <v>403</v>
      </c>
      <c r="DP5" s="40" t="n">
        <v>101</v>
      </c>
      <c r="DQ5" s="40" t="n">
        <v>21</v>
      </c>
      <c r="DR5" s="40" t="n">
        <v>477</v>
      </c>
      <c r="DS5" s="40" t="n">
        <v>23</v>
      </c>
      <c r="DT5" s="40" t="n">
        <v>13</v>
      </c>
      <c r="DU5" s="40" t="n">
        <v>6201</v>
      </c>
      <c r="DV5" s="40" t="n">
        <v>5561</v>
      </c>
      <c r="DW5" s="40" t="n">
        <v>624</v>
      </c>
      <c r="DX5" s="40" t="n">
        <v>226</v>
      </c>
      <c r="DY5" s="40" t="n">
        <v>32</v>
      </c>
      <c r="DZ5" s="40" t="n">
        <v>26</v>
      </c>
      <c r="EA5" s="40" t="n">
        <v>220</v>
      </c>
      <c r="EB5" s="40" t="n">
        <v>202</v>
      </c>
      <c r="EC5" s="40" t="n">
        <v>69</v>
      </c>
      <c r="ED5" s="40" t="n">
        <v>44</v>
      </c>
      <c r="EE5" s="40" t="n">
        <v>6</v>
      </c>
      <c r="EF5" s="40" t="n">
        <v>0</v>
      </c>
      <c r="EG5" s="40" t="n">
        <v>5095</v>
      </c>
      <c r="EH5" s="40" t="n">
        <v>16</v>
      </c>
      <c r="EI5" s="40" t="n">
        <v>116</v>
      </c>
      <c r="EJ5" s="40" t="n">
        <v>23</v>
      </c>
      <c r="EK5" s="40" t="n">
        <v>13</v>
      </c>
      <c r="EL5" s="40" t="n">
        <v>197</v>
      </c>
      <c r="EM5" s="40" t="n">
        <v>116</v>
      </c>
      <c r="EN5" s="40" t="n">
        <v>89</v>
      </c>
      <c r="EO5" s="40" t="n">
        <v>88</v>
      </c>
      <c r="EP5" s="40" t="n">
        <v>20</v>
      </c>
      <c r="EQ5" s="40" t="n">
        <v>100</v>
      </c>
      <c r="ER5" s="40" t="n">
        <v>191</v>
      </c>
      <c r="ES5" s="40" t="n">
        <v>52.4</v>
      </c>
      <c r="ET5" s="40" t="n">
        <v>91</v>
      </c>
      <c r="EU5" s="40" t="n">
        <v>147</v>
      </c>
      <c r="EV5" s="40" t="n">
        <v>58</v>
      </c>
      <c r="EW5" s="40" t="n">
        <v>89</v>
      </c>
      <c r="EX5" s="40" t="n">
        <v>73</v>
      </c>
      <c r="EY5" s="40" t="n">
        <v>270</v>
      </c>
      <c r="EZ5" s="40" t="n">
        <v>307</v>
      </c>
      <c r="FA5" s="40" t="n">
        <v>6</v>
      </c>
      <c r="FB5" s="40" t="n">
        <v>23</v>
      </c>
      <c r="FC5" s="40" t="n">
        <v>53.5</v>
      </c>
      <c r="FD5" s="40" t="n">
        <v>13</v>
      </c>
      <c r="FE5" s="40" t="n">
        <v>7617</v>
      </c>
      <c r="FF5" s="40" t="n">
        <v>999</v>
      </c>
      <c r="FG5" s="40" t="n">
        <v>2561</v>
      </c>
      <c r="FH5" s="40" t="n">
        <v>3283</v>
      </c>
      <c r="FI5" s="40" t="n">
        <v>1832</v>
      </c>
      <c r="FJ5" s="40" t="n">
        <v>277</v>
      </c>
      <c r="FK5" s="40" t="n">
        <v>7617</v>
      </c>
      <c r="FL5" s="40" t="n">
        <v>236</v>
      </c>
      <c r="FM5" s="40" t="n">
        <v>82</v>
      </c>
      <c r="FN5" s="40" t="n">
        <v>34.7</v>
      </c>
      <c r="FO5" s="40" t="n">
        <v>121</v>
      </c>
      <c r="FP5" s="40" t="n">
        <v>51.3</v>
      </c>
      <c r="FQ5" s="40" t="n">
        <v>4411</v>
      </c>
      <c r="FR5" s="40" t="n">
        <v>22064</v>
      </c>
      <c r="FS5" s="40" t="n">
        <v>11099</v>
      </c>
      <c r="FT5" s="40" t="n">
        <v>190</v>
      </c>
      <c r="FU5" s="40" t="n">
        <v>122</v>
      </c>
      <c r="FV5" s="40" t="n">
        <v>43</v>
      </c>
      <c r="FW5" s="40" t="n">
        <v>169</v>
      </c>
      <c r="FX5" s="40" t="n">
        <v>144</v>
      </c>
      <c r="FY5" s="40" t="n">
        <v>5000</v>
      </c>
      <c r="FZ5" s="40" t="n">
        <v>471</v>
      </c>
      <c r="GA5" s="40" t="n">
        <v>23</v>
      </c>
      <c r="GB5" s="40" t="n">
        <v>28.4</v>
      </c>
      <c r="GC5" s="40" t="n">
        <v>13</v>
      </c>
      <c r="GD5" s="40" t="n">
        <v>1170</v>
      </c>
      <c r="GE5" s="40" t="n">
        <v>90</v>
      </c>
      <c r="GF5" s="40" t="n">
        <v>100</v>
      </c>
      <c r="GG5" s="40" t="n">
        <v>13</v>
      </c>
      <c r="GH5" s="40" t="n">
        <v>143</v>
      </c>
      <c r="GI5" s="40" t="n">
        <v>81</v>
      </c>
      <c r="GJ5" s="40" t="n">
        <v>85</v>
      </c>
      <c r="GK5" s="40" t="n">
        <v>61</v>
      </c>
      <c r="GL5" s="40" t="n">
        <v>20</v>
      </c>
      <c r="GM5" s="40" t="n">
        <v>56</v>
      </c>
      <c r="GN5" s="40" t="n">
        <v>1.85</v>
      </c>
      <c r="GO5" s="40" t="n">
        <v>16</v>
      </c>
      <c r="GP5" s="40" t="n">
        <v>11</v>
      </c>
      <c r="GQ5" s="40" t="n">
        <v>5</v>
      </c>
      <c r="GR5" s="40" t="n">
        <v>0.38</v>
      </c>
      <c r="GS5" s="40" t="n">
        <v>11.6</v>
      </c>
      <c r="GT5" s="40" t="n">
        <v>16.6</v>
      </c>
      <c r="GU5" s="40" t="n">
        <v>-5</v>
      </c>
      <c r="GV5" s="40" t="n">
        <v>-0.38</v>
      </c>
      <c r="GW5" s="40" t="n">
        <v>23</v>
      </c>
      <c r="GX5" s="40" t="n">
        <v>13</v>
      </c>
      <c r="GY5" s="40" t="n">
        <v>20</v>
      </c>
      <c r="GZ5" s="40" t="n">
        <v>1</v>
      </c>
      <c r="HA5" s="40" t="n">
        <v>0</v>
      </c>
      <c r="HB5" s="40" t="n">
        <v>134</v>
      </c>
      <c r="HC5" s="40" t="n">
        <v>184</v>
      </c>
      <c r="HD5" s="40" t="n">
        <v>16</v>
      </c>
      <c r="HE5" s="40" t="n">
        <v>220</v>
      </c>
      <c r="HF5" s="40" t="n">
        <v>73</v>
      </c>
      <c r="HG5" s="40" t="n">
        <v>116</v>
      </c>
      <c r="HH5" s="40" t="n">
        <v>0</v>
      </c>
      <c r="HI5" s="40" t="n">
        <v>2</v>
      </c>
      <c r="HJ5" s="40" t="n">
        <v>0</v>
      </c>
      <c r="HK5" s="40" t="n">
        <v>474</v>
      </c>
      <c r="HL5" s="40" t="n">
        <v>158</v>
      </c>
      <c r="HM5" s="40" t="n">
        <v>162</v>
      </c>
      <c r="HN5" s="40" t="n">
        <v>49.4</v>
      </c>
      <c r="HO5" s="40" t="n">
        <v>2</v>
      </c>
      <c r="HP5" s="40" t="n">
        <v>13</v>
      </c>
      <c r="HQ5" s="40" t="n">
        <v>13</v>
      </c>
      <c r="HR5" s="40" t="n">
        <v>1170</v>
      </c>
      <c r="HS5" s="40" t="n">
        <v>13</v>
      </c>
      <c r="HT5" s="40" t="n">
        <v>11</v>
      </c>
      <c r="HU5" s="40" t="n">
        <v>0.85</v>
      </c>
      <c r="HV5" s="40" t="n">
        <v>41</v>
      </c>
      <c r="HW5" s="40" t="n">
        <v>29</v>
      </c>
      <c r="HX5" s="40" t="n">
        <v>75.59999999999999</v>
      </c>
      <c r="HY5" s="40" t="n">
        <v>7</v>
      </c>
      <c r="HZ5" s="40" t="n">
        <v>3</v>
      </c>
      <c r="IA5" s="40" t="n">
        <v>3</v>
      </c>
      <c r="IB5" s="40" t="n">
        <v>5</v>
      </c>
      <c r="IC5" s="40" t="n">
        <v>38.5</v>
      </c>
      <c r="ID5" s="40" t="n">
        <v>2</v>
      </c>
      <c r="IE5" s="40" t="n">
        <v>1</v>
      </c>
      <c r="IF5" s="40" t="n">
        <v>1</v>
      </c>
      <c r="IG5" s="40" t="n">
        <v>0</v>
      </c>
      <c r="IH5" s="40" t="n">
        <v>50</v>
      </c>
      <c r="II5" s="40" t="n">
        <v>2</v>
      </c>
      <c r="IJ5" s="40" t="n">
        <v>13</v>
      </c>
      <c r="IK5" s="40" t="n">
        <v>11</v>
      </c>
      <c r="IL5" s="40" t="n">
        <v>1</v>
      </c>
      <c r="IM5" s="40" t="n">
        <v>0</v>
      </c>
      <c r="IN5" s="40" t="n">
        <v>3</v>
      </c>
      <c r="IO5" s="40" t="n">
        <v>0</v>
      </c>
      <c r="IP5" s="40" t="n">
        <v>12</v>
      </c>
      <c r="IQ5" s="40" t="n">
        <v>0.27</v>
      </c>
      <c r="IR5" s="40" t="n">
        <v>1</v>
      </c>
      <c r="IS5" s="40" t="n">
        <v>0.08</v>
      </c>
      <c r="IT5" s="40" t="n">
        <v>53</v>
      </c>
      <c r="IU5" s="40" t="n">
        <v>160</v>
      </c>
      <c r="IV5" s="40" t="n">
        <v>33.1</v>
      </c>
      <c r="IW5" s="40" t="n">
        <v>396</v>
      </c>
      <c r="IX5" s="40" t="n">
        <v>54</v>
      </c>
      <c r="IY5" s="40" t="n">
        <v>31.6</v>
      </c>
      <c r="IZ5" s="40" t="n">
        <v>30.6</v>
      </c>
      <c r="JA5" s="40" t="n">
        <v>103</v>
      </c>
      <c r="JB5" s="40" t="n">
        <v>34</v>
      </c>
      <c r="JC5" s="40" t="n">
        <v>30.3</v>
      </c>
      <c r="JD5" s="40" t="n">
        <v>192</v>
      </c>
      <c r="JE5" s="40" t="n">
        <v>18</v>
      </c>
      <c r="JF5" s="40" t="n">
        <v>9.4</v>
      </c>
      <c r="JG5" s="40" t="n">
        <v>18</v>
      </c>
      <c r="JH5" s="40" t="n">
        <v>1.38</v>
      </c>
      <c r="JI5" s="40" t="n">
        <v>12.4</v>
      </c>
      <c r="JJ5" s="40" t="n">
        <v>13</v>
      </c>
      <c r="JK5" s="40" t="n">
        <v>11.6</v>
      </c>
      <c r="JL5" s="40" t="n">
        <v>53.5</v>
      </c>
      <c r="JM5" s="40" t="n">
        <v>149</v>
      </c>
      <c r="JN5" s="40" t="n">
        <v>48</v>
      </c>
      <c r="JO5" s="40" t="n">
        <v>32.2</v>
      </c>
      <c r="JP5" s="40" t="n">
        <v>11.6</v>
      </c>
      <c r="JQ5" s="40" t="n">
        <v>5095</v>
      </c>
      <c r="JR5" s="40" t="n">
        <v>6201</v>
      </c>
      <c r="JS5" s="40" t="n">
        <v>82.2</v>
      </c>
      <c r="JT5" s="40" t="n">
        <v>197</v>
      </c>
      <c r="JU5" s="40" t="n">
        <v>116</v>
      </c>
      <c r="JV5" s="40" t="n">
        <v>73</v>
      </c>
      <c r="JW5" s="40" t="n">
        <v>307</v>
      </c>
      <c r="JX5" s="40" t="n">
        <v>134</v>
      </c>
      <c r="JY5" s="40" t="n">
        <v>184</v>
      </c>
      <c r="JZ5" s="40" t="n">
        <v>20</v>
      </c>
      <c r="KA5" s="40" t="n">
        <v>1</v>
      </c>
      <c r="KB5" s="40" t="n">
        <v>38.4615384615</v>
      </c>
      <c r="KC5" s="40" t="n">
        <v>32.2147651007</v>
      </c>
      <c r="KD5" s="40" t="n">
        <v>82.2</v>
      </c>
      <c r="KE5" s="40" t="n">
        <v>58.883248731</v>
      </c>
    </row>
    <row r="6">
      <c r="A6" s="40" t="inlineStr">
        <is>
          <t>Brighton</t>
        </is>
      </c>
      <c r="B6" s="40" t="n">
        <v>5</v>
      </c>
      <c r="C6" s="40" t="n">
        <v>13</v>
      </c>
      <c r="D6" s="40" t="n">
        <v>6</v>
      </c>
      <c r="E6" s="40" t="n">
        <v>4</v>
      </c>
      <c r="F6" s="40" t="n">
        <v>3</v>
      </c>
      <c r="G6" s="40" t="n">
        <v>21</v>
      </c>
      <c r="H6" s="40" t="n">
        <v>16</v>
      </c>
      <c r="I6" s="40" t="n">
        <v>5</v>
      </c>
      <c r="J6" s="40" t="n">
        <v>22</v>
      </c>
      <c r="K6" s="40" t="n">
        <v>1.69</v>
      </c>
      <c r="L6" s="40" t="n">
        <v>19.7</v>
      </c>
      <c r="M6" s="40" t="n">
        <v>15.9</v>
      </c>
      <c r="N6" s="40" t="n">
        <v>3.8</v>
      </c>
      <c r="O6" s="40" t="n">
        <v>0.3</v>
      </c>
      <c r="P6" s="40" t="inlineStr">
        <is>
          <t>L W D W W</t>
        </is>
      </c>
      <c r="Q6" s="40" t="n">
        <v>31507</v>
      </c>
      <c r="R6" s="40" t="inlineStr">
        <is>
          <t>Danny Welbeck - 7</t>
        </is>
      </c>
      <c r="S6" s="40" t="inlineStr">
        <is>
          <t>Bart Verbruggen</t>
        </is>
      </c>
      <c r="T6" s="40" t="n">
        <v/>
      </c>
      <c r="U6" s="40" t="n">
        <v>5</v>
      </c>
      <c r="V6" s="40" t="n">
        <v>6</v>
      </c>
      <c r="W6" s="40" t="n">
        <v>4</v>
      </c>
      <c r="X6" s="40" t="n">
        <v>2</v>
      </c>
      <c r="Y6" s="40" t="n">
        <v>0</v>
      </c>
      <c r="Z6" s="40" t="n">
        <v>12</v>
      </c>
      <c r="AA6" s="40" t="n">
        <v>6</v>
      </c>
      <c r="AB6" s="40" t="n">
        <v>6</v>
      </c>
      <c r="AC6" s="40" t="n">
        <v>14</v>
      </c>
      <c r="AD6" s="40" t="n">
        <v>2.33</v>
      </c>
      <c r="AE6" s="40" t="n">
        <v>10.2</v>
      </c>
      <c r="AF6" s="40" t="n">
        <v>7.6</v>
      </c>
      <c r="AG6" s="40" t="n">
        <v>2.6</v>
      </c>
      <c r="AH6" s="40" t="n">
        <v>0.44</v>
      </c>
      <c r="AI6" s="40" t="n">
        <v>7</v>
      </c>
      <c r="AJ6" s="40" t="n">
        <v>2</v>
      </c>
      <c r="AK6" s="40" t="n">
        <v>2</v>
      </c>
      <c r="AL6" s="40" t="n">
        <v>3</v>
      </c>
      <c r="AM6" s="40" t="n">
        <v>9</v>
      </c>
      <c r="AN6" s="40" t="n">
        <v>10</v>
      </c>
      <c r="AO6" s="40" t="n">
        <v>-1</v>
      </c>
      <c r="AP6" s="40" t="n">
        <v>8</v>
      </c>
      <c r="AQ6" s="40" t="n">
        <v>1.14</v>
      </c>
      <c r="AR6" s="40" t="n">
        <v>9.5</v>
      </c>
      <c r="AS6" s="40" t="n">
        <v>8.300000000000001</v>
      </c>
      <c r="AT6" s="40" t="n">
        <v>1.2</v>
      </c>
      <c r="AU6" s="40" t="n">
        <v>0.18</v>
      </c>
      <c r="AV6" s="40" t="n">
        <v>25</v>
      </c>
      <c r="AW6" s="40" t="n">
        <v>26</v>
      </c>
      <c r="AX6" s="40" t="n">
        <v>49.9</v>
      </c>
      <c r="AY6" s="40" t="n">
        <v>13</v>
      </c>
      <c r="AZ6" s="40" t="n">
        <v>143</v>
      </c>
      <c r="BA6" s="40" t="n">
        <v>1170</v>
      </c>
      <c r="BB6" s="40" t="n">
        <v>13</v>
      </c>
      <c r="BC6" s="40" t="n">
        <v>21</v>
      </c>
      <c r="BD6" s="40" t="n">
        <v>12</v>
      </c>
      <c r="BE6" s="40" t="n">
        <v>33</v>
      </c>
      <c r="BF6" s="40" t="n">
        <v>19</v>
      </c>
      <c r="BG6" s="40" t="n">
        <v>2</v>
      </c>
      <c r="BH6" s="40" t="n">
        <v>3</v>
      </c>
      <c r="BI6" s="40" t="n">
        <v>33</v>
      </c>
      <c r="BJ6" s="40" t="n">
        <v>0</v>
      </c>
      <c r="BK6" s="40" t="n">
        <v>19.7</v>
      </c>
      <c r="BL6" s="40" t="n">
        <v>17.4</v>
      </c>
      <c r="BM6" s="40" t="n">
        <v>13.2</v>
      </c>
      <c r="BN6" s="40" t="n">
        <v>30.6</v>
      </c>
      <c r="BO6" s="40" t="n">
        <v>236</v>
      </c>
      <c r="BP6" s="40" t="n">
        <v>444</v>
      </c>
      <c r="BQ6" s="40" t="n">
        <v>1.62</v>
      </c>
      <c r="BR6" s="40" t="n">
        <v>0.92</v>
      </c>
      <c r="BS6" s="40" t="n">
        <v>2.54</v>
      </c>
      <c r="BT6" s="40" t="n">
        <v>1.46</v>
      </c>
      <c r="BU6" s="40" t="n">
        <v>2.38</v>
      </c>
      <c r="BV6" s="40" t="n">
        <v>1.52</v>
      </c>
      <c r="BW6" s="40" t="n">
        <v>1.02</v>
      </c>
      <c r="BX6" s="40" t="n">
        <v>2.53</v>
      </c>
      <c r="BY6" s="40" t="n">
        <v>1.34</v>
      </c>
      <c r="BZ6" s="40" t="n">
        <v>2.36</v>
      </c>
      <c r="CA6" s="40" t="n">
        <v>25</v>
      </c>
      <c r="CB6" s="40" t="n">
        <v>13</v>
      </c>
      <c r="CC6" s="40" t="n">
        <v>21</v>
      </c>
      <c r="CD6" s="40" t="n">
        <v>161</v>
      </c>
      <c r="CE6" s="40" t="n">
        <v>57</v>
      </c>
      <c r="CF6" s="40" t="n">
        <v>35.4</v>
      </c>
      <c r="CG6" s="40" t="n">
        <v>12.38</v>
      </c>
      <c r="CH6" s="40" t="n">
        <v>4.38</v>
      </c>
      <c r="CI6" s="40" t="n">
        <v>0.12</v>
      </c>
      <c r="CJ6" s="40" t="n">
        <v>0.33</v>
      </c>
      <c r="CK6" s="40" t="n">
        <v>18.9</v>
      </c>
      <c r="CL6" s="40" t="n">
        <v>7</v>
      </c>
      <c r="CM6" s="40" t="n">
        <v>2</v>
      </c>
      <c r="CN6" s="40" t="n">
        <v>3</v>
      </c>
      <c r="CO6" s="40" t="n">
        <v>19.7</v>
      </c>
      <c r="CP6" s="40" t="n">
        <v>17.4</v>
      </c>
      <c r="CQ6" s="40" t="n">
        <v>0.11</v>
      </c>
      <c r="CR6" s="40" t="n">
        <v>1.3</v>
      </c>
      <c r="CS6" s="40" t="n">
        <v>1.6</v>
      </c>
      <c r="CT6" s="40" t="n">
        <v>25</v>
      </c>
      <c r="CU6" s="40" t="n">
        <v>13</v>
      </c>
      <c r="CV6" s="40" t="n">
        <v>5077</v>
      </c>
      <c r="CW6" s="40" t="n">
        <v>6248</v>
      </c>
      <c r="CX6" s="40" t="n">
        <v>81.3</v>
      </c>
      <c r="CY6" s="40" t="n">
        <v>89476</v>
      </c>
      <c r="CZ6" s="40" t="n">
        <v>30584</v>
      </c>
      <c r="DA6" s="40" t="n">
        <v>2307</v>
      </c>
      <c r="DB6" s="40" t="n">
        <v>2563</v>
      </c>
      <c r="DC6" s="40" t="n">
        <v>90</v>
      </c>
      <c r="DD6" s="40" t="n">
        <v>2212</v>
      </c>
      <c r="DE6" s="40" t="n">
        <v>2518</v>
      </c>
      <c r="DF6" s="40" t="n">
        <v>87.8</v>
      </c>
      <c r="DG6" s="40" t="n">
        <v>455</v>
      </c>
      <c r="DH6" s="40" t="n">
        <v>853</v>
      </c>
      <c r="DI6" s="40" t="n">
        <v>53.3</v>
      </c>
      <c r="DJ6" s="40" t="n">
        <v>12</v>
      </c>
      <c r="DK6" s="40" t="n">
        <v>13.2</v>
      </c>
      <c r="DL6" s="40" t="n">
        <v>10.4</v>
      </c>
      <c r="DM6" s="40" t="n">
        <v>-1.2</v>
      </c>
      <c r="DN6" s="40" t="n">
        <v>117</v>
      </c>
      <c r="DO6" s="40" t="n">
        <v>397</v>
      </c>
      <c r="DP6" s="40" t="n">
        <v>85</v>
      </c>
      <c r="DQ6" s="40" t="n">
        <v>27</v>
      </c>
      <c r="DR6" s="40" t="n">
        <v>444</v>
      </c>
      <c r="DS6" s="40" t="n">
        <v>25</v>
      </c>
      <c r="DT6" s="40" t="n">
        <v>13</v>
      </c>
      <c r="DU6" s="40" t="n">
        <v>6248</v>
      </c>
      <c r="DV6" s="40" t="n">
        <v>5661</v>
      </c>
      <c r="DW6" s="40" t="n">
        <v>563</v>
      </c>
      <c r="DX6" s="40" t="n">
        <v>142</v>
      </c>
      <c r="DY6" s="40" t="n">
        <v>13</v>
      </c>
      <c r="DZ6" s="40" t="n">
        <v>40</v>
      </c>
      <c r="EA6" s="40" t="n">
        <v>193</v>
      </c>
      <c r="EB6" s="40" t="n">
        <v>222</v>
      </c>
      <c r="EC6" s="40" t="n">
        <v>65</v>
      </c>
      <c r="ED6" s="40" t="n">
        <v>48</v>
      </c>
      <c r="EE6" s="40" t="n">
        <v>4</v>
      </c>
      <c r="EF6" s="40" t="n">
        <v>1</v>
      </c>
      <c r="EG6" s="40" t="n">
        <v>5077</v>
      </c>
      <c r="EH6" s="40" t="n">
        <v>24</v>
      </c>
      <c r="EI6" s="40" t="n">
        <v>103</v>
      </c>
      <c r="EJ6" s="40" t="n">
        <v>25</v>
      </c>
      <c r="EK6" s="40" t="n">
        <v>13</v>
      </c>
      <c r="EL6" s="40" t="n">
        <v>259</v>
      </c>
      <c r="EM6" s="40" t="n">
        <v>161</v>
      </c>
      <c r="EN6" s="40" t="n">
        <v>110</v>
      </c>
      <c r="EO6" s="40" t="n">
        <v>100</v>
      </c>
      <c r="EP6" s="40" t="n">
        <v>49</v>
      </c>
      <c r="EQ6" s="40" t="n">
        <v>133</v>
      </c>
      <c r="ER6" s="40" t="n">
        <v>261</v>
      </c>
      <c r="ES6" s="40" t="n">
        <v>51</v>
      </c>
      <c r="ET6" s="40" t="n">
        <v>128</v>
      </c>
      <c r="EU6" s="40" t="n">
        <v>136</v>
      </c>
      <c r="EV6" s="40" t="n">
        <v>32</v>
      </c>
      <c r="EW6" s="40" t="n">
        <v>104</v>
      </c>
      <c r="EX6" s="40" t="n">
        <v>99</v>
      </c>
      <c r="EY6" s="40" t="n">
        <v>358</v>
      </c>
      <c r="EZ6" s="40" t="n">
        <v>331</v>
      </c>
      <c r="FA6" s="40" t="n">
        <v>6</v>
      </c>
      <c r="FB6" s="40" t="n">
        <v>25</v>
      </c>
      <c r="FC6" s="40" t="n">
        <v>49.9</v>
      </c>
      <c r="FD6" s="40" t="n">
        <v>13</v>
      </c>
      <c r="FE6" s="40" t="n">
        <v>7818</v>
      </c>
      <c r="FF6" s="40" t="n">
        <v>938</v>
      </c>
      <c r="FG6" s="40" t="n">
        <v>2809</v>
      </c>
      <c r="FH6" s="40" t="n">
        <v>3393</v>
      </c>
      <c r="FI6" s="40" t="n">
        <v>1702</v>
      </c>
      <c r="FJ6" s="40" t="n">
        <v>307</v>
      </c>
      <c r="FK6" s="40" t="n">
        <v>7815</v>
      </c>
      <c r="FL6" s="40" t="n">
        <v>241</v>
      </c>
      <c r="FM6" s="40" t="n">
        <v>108</v>
      </c>
      <c r="FN6" s="40" t="n">
        <v>44.8</v>
      </c>
      <c r="FO6" s="40" t="n">
        <v>111</v>
      </c>
      <c r="FP6" s="40" t="n">
        <v>46.1</v>
      </c>
      <c r="FQ6" s="40" t="n">
        <v>4628</v>
      </c>
      <c r="FR6" s="40" t="n">
        <v>24086</v>
      </c>
      <c r="FS6" s="40" t="n">
        <v>13003</v>
      </c>
      <c r="FT6" s="40" t="n">
        <v>236</v>
      </c>
      <c r="FU6" s="40" t="n">
        <v>132</v>
      </c>
      <c r="FV6" s="40" t="n">
        <v>74</v>
      </c>
      <c r="FW6" s="40" t="n">
        <v>222</v>
      </c>
      <c r="FX6" s="40" t="n">
        <v>138</v>
      </c>
      <c r="FY6" s="40" t="n">
        <v>5019</v>
      </c>
      <c r="FZ6" s="40" t="n">
        <v>440</v>
      </c>
      <c r="GA6" s="40" t="n">
        <v>25</v>
      </c>
      <c r="GB6" s="40" t="n">
        <v>26</v>
      </c>
      <c r="GC6" s="40" t="n">
        <v>13</v>
      </c>
      <c r="GD6" s="40" t="n">
        <v>1170</v>
      </c>
      <c r="GE6" s="40" t="n">
        <v>90</v>
      </c>
      <c r="GF6" s="40" t="n">
        <v>100</v>
      </c>
      <c r="GG6" s="40" t="n">
        <v>13</v>
      </c>
      <c r="GH6" s="40" t="n">
        <v>143</v>
      </c>
      <c r="GI6" s="40" t="n">
        <v>81</v>
      </c>
      <c r="GJ6" s="40" t="n">
        <v>81</v>
      </c>
      <c r="GK6" s="40" t="n">
        <v>62</v>
      </c>
      <c r="GL6" s="40" t="n">
        <v>21</v>
      </c>
      <c r="GM6" s="40" t="n">
        <v>55</v>
      </c>
      <c r="GN6" s="40" t="n">
        <v>1.69</v>
      </c>
      <c r="GO6" s="40" t="n">
        <v>21</v>
      </c>
      <c r="GP6" s="40" t="n">
        <v>16</v>
      </c>
      <c r="GQ6" s="40" t="n">
        <v>5</v>
      </c>
      <c r="GR6" s="40" t="n">
        <v>0.38</v>
      </c>
      <c r="GS6" s="40" t="n">
        <v>19.7</v>
      </c>
      <c r="GT6" s="40" t="n">
        <v>15.9</v>
      </c>
      <c r="GU6" s="40" t="n">
        <v>3.8</v>
      </c>
      <c r="GV6" s="40" t="n">
        <v>0.3</v>
      </c>
      <c r="GW6" s="40" t="n">
        <v>25</v>
      </c>
      <c r="GX6" s="40" t="n">
        <v>13</v>
      </c>
      <c r="GY6" s="40" t="n">
        <v>33</v>
      </c>
      <c r="GZ6" s="40" t="n">
        <v>0</v>
      </c>
      <c r="HA6" s="40" t="n">
        <v>0</v>
      </c>
      <c r="HB6" s="40" t="n">
        <v>156</v>
      </c>
      <c r="HC6" s="40" t="n">
        <v>134</v>
      </c>
      <c r="HD6" s="40" t="n">
        <v>24</v>
      </c>
      <c r="HE6" s="40" t="n">
        <v>193</v>
      </c>
      <c r="HF6" s="40" t="n">
        <v>99</v>
      </c>
      <c r="HG6" s="40" t="n">
        <v>161</v>
      </c>
      <c r="HH6" s="40" t="n">
        <v>1</v>
      </c>
      <c r="HI6" s="40" t="n">
        <v>3</v>
      </c>
      <c r="HJ6" s="40" t="n">
        <v>2</v>
      </c>
      <c r="HK6" s="40" t="n">
        <v>568</v>
      </c>
      <c r="HL6" s="40" t="n">
        <v>171</v>
      </c>
      <c r="HM6" s="40" t="n">
        <v>185</v>
      </c>
      <c r="HN6" s="40" t="n">
        <v>48</v>
      </c>
      <c r="HO6" s="40" t="n">
        <v>1</v>
      </c>
      <c r="HP6" s="40" t="n">
        <v>13</v>
      </c>
      <c r="HQ6" s="40" t="n">
        <v>13</v>
      </c>
      <c r="HR6" s="40" t="n">
        <v>1170</v>
      </c>
      <c r="HS6" s="40" t="n">
        <v>13</v>
      </c>
      <c r="HT6" s="40" t="n">
        <v>16</v>
      </c>
      <c r="HU6" s="40" t="n">
        <v>1.23</v>
      </c>
      <c r="HV6" s="40" t="n">
        <v>45</v>
      </c>
      <c r="HW6" s="40" t="n">
        <v>30</v>
      </c>
      <c r="HX6" s="40" t="n">
        <v>68.90000000000001</v>
      </c>
      <c r="HY6" s="40" t="n">
        <v>6</v>
      </c>
      <c r="HZ6" s="40" t="n">
        <v>4</v>
      </c>
      <c r="IA6" s="40" t="n">
        <v>3</v>
      </c>
      <c r="IB6" s="40" t="n">
        <v>3</v>
      </c>
      <c r="IC6" s="40" t="n">
        <v>23.1</v>
      </c>
      <c r="ID6" s="40" t="n">
        <v>3</v>
      </c>
      <c r="IE6" s="40" t="n">
        <v>2</v>
      </c>
      <c r="IF6" s="40" t="n">
        <v>1</v>
      </c>
      <c r="IG6" s="40" t="n">
        <v>0</v>
      </c>
      <c r="IH6" s="40" t="n">
        <v>33.3</v>
      </c>
      <c r="II6" s="40" t="n">
        <v>1</v>
      </c>
      <c r="IJ6" s="40" t="n">
        <v>13</v>
      </c>
      <c r="IK6" s="40" t="n">
        <v>16</v>
      </c>
      <c r="IL6" s="40" t="n">
        <v>2</v>
      </c>
      <c r="IM6" s="40" t="n">
        <v>0</v>
      </c>
      <c r="IN6" s="40" t="n">
        <v>1</v>
      </c>
      <c r="IO6" s="40" t="n">
        <v>2</v>
      </c>
      <c r="IP6" s="40" t="n">
        <v>16.8</v>
      </c>
      <c r="IQ6" s="40" t="n">
        <v>0.33</v>
      </c>
      <c r="IR6" s="40" t="n">
        <v>2.8</v>
      </c>
      <c r="IS6" s="40" t="n">
        <v>0.22</v>
      </c>
      <c r="IT6" s="40" t="n">
        <v>34</v>
      </c>
      <c r="IU6" s="40" t="n">
        <v>150</v>
      </c>
      <c r="IV6" s="40" t="n">
        <v>22.7</v>
      </c>
      <c r="IW6" s="40" t="n">
        <v>433</v>
      </c>
      <c r="IX6" s="40" t="n">
        <v>53</v>
      </c>
      <c r="IY6" s="40" t="n">
        <v>28.9</v>
      </c>
      <c r="IZ6" s="40" t="n">
        <v>29.9</v>
      </c>
      <c r="JA6" s="40" t="n">
        <v>105</v>
      </c>
      <c r="JB6" s="40" t="n">
        <v>23.8</v>
      </c>
      <c r="JC6" s="40" t="n">
        <v>23.3</v>
      </c>
      <c r="JD6" s="40" t="n">
        <v>177</v>
      </c>
      <c r="JE6" s="40" t="n">
        <v>8</v>
      </c>
      <c r="JF6" s="40" t="n">
        <v>4.5</v>
      </c>
      <c r="JG6" s="40" t="n">
        <v>11</v>
      </c>
      <c r="JH6" s="40" t="n">
        <v>0.85</v>
      </c>
      <c r="JI6" s="40" t="n">
        <v>14.2</v>
      </c>
      <c r="JJ6" s="40" t="n">
        <v>13</v>
      </c>
      <c r="JK6" s="40" t="n">
        <v>19.7</v>
      </c>
      <c r="JL6" s="40" t="n">
        <v>49.9</v>
      </c>
      <c r="JM6" s="40" t="n">
        <v>161</v>
      </c>
      <c r="JN6" s="40" t="n">
        <v>57</v>
      </c>
      <c r="JO6" s="40" t="n">
        <v>35.4</v>
      </c>
      <c r="JP6" s="40" t="n">
        <v>17.4</v>
      </c>
      <c r="JQ6" s="40" t="n">
        <v>5077</v>
      </c>
      <c r="JR6" s="40" t="n">
        <v>6248</v>
      </c>
      <c r="JS6" s="40" t="n">
        <v>81.3</v>
      </c>
      <c r="JT6" s="40" t="n">
        <v>259</v>
      </c>
      <c r="JU6" s="40" t="n">
        <v>161</v>
      </c>
      <c r="JV6" s="40" t="n">
        <v>99</v>
      </c>
      <c r="JW6" s="40" t="n">
        <v>331</v>
      </c>
      <c r="JX6" s="40" t="n">
        <v>156</v>
      </c>
      <c r="JY6" s="40" t="n">
        <v>134</v>
      </c>
      <c r="JZ6" s="40" t="n">
        <v>33</v>
      </c>
      <c r="KA6" s="40" t="n">
        <v>0</v>
      </c>
      <c r="KB6" s="40" t="n">
        <v>23.0769230769</v>
      </c>
      <c r="KC6" s="40" t="n">
        <v>35.4037267081</v>
      </c>
      <c r="KD6" s="40" t="n">
        <v>81.3</v>
      </c>
      <c r="KE6" s="40" t="n">
        <v>62.1621621622</v>
      </c>
    </row>
    <row r="7">
      <c r="A7" s="40" t="inlineStr">
        <is>
          <t>Sunderland</t>
        </is>
      </c>
      <c r="B7" s="40" t="n">
        <v>6</v>
      </c>
      <c r="C7" s="40" t="n">
        <v>13</v>
      </c>
      <c r="D7" s="40" t="n">
        <v>6</v>
      </c>
      <c r="E7" s="40" t="n">
        <v>4</v>
      </c>
      <c r="F7" s="40" t="n">
        <v>3</v>
      </c>
      <c r="G7" s="40" t="n">
        <v>17</v>
      </c>
      <c r="H7" s="40" t="n">
        <v>13</v>
      </c>
      <c r="I7" s="40" t="n">
        <v>4</v>
      </c>
      <c r="J7" s="40" t="n">
        <v>22</v>
      </c>
      <c r="K7" s="40" t="n">
        <v>1.69</v>
      </c>
      <c r="L7" s="40" t="n">
        <v>11.9</v>
      </c>
      <c r="M7" s="40" t="n">
        <v>17</v>
      </c>
      <c r="N7" s="40" t="n">
        <v>-5.1</v>
      </c>
      <c r="O7" s="40" t="n">
        <v>-0.39</v>
      </c>
      <c r="P7" s="40" t="inlineStr">
        <is>
          <t>W D D L W</t>
        </is>
      </c>
      <c r="Q7" s="40" t="n">
        <v>45602</v>
      </c>
      <c r="R7" s="40" t="inlineStr">
        <is>
          <t>Wilson Isidor - 4</t>
        </is>
      </c>
      <c r="S7" s="40" t="inlineStr">
        <is>
          <t>Robin Roefs</t>
        </is>
      </c>
      <c r="T7" s="40" t="n">
        <v/>
      </c>
      <c r="U7" s="40" t="n">
        <v>6</v>
      </c>
      <c r="V7" s="40" t="n">
        <v>7</v>
      </c>
      <c r="W7" s="40" t="n">
        <v>4</v>
      </c>
      <c r="X7" s="40" t="n">
        <v>3</v>
      </c>
      <c r="Y7" s="40" t="n">
        <v>0</v>
      </c>
      <c r="Z7" s="40" t="n">
        <v>14</v>
      </c>
      <c r="AA7" s="40" t="n">
        <v>7</v>
      </c>
      <c r="AB7" s="40" t="n">
        <v>7</v>
      </c>
      <c r="AC7" s="40" t="n">
        <v>15</v>
      </c>
      <c r="AD7" s="40" t="n">
        <v>2.14</v>
      </c>
      <c r="AE7" s="40" t="n">
        <v>7</v>
      </c>
      <c r="AF7" s="40" t="n">
        <v>7.8</v>
      </c>
      <c r="AG7" s="40" t="n">
        <v>-0.8</v>
      </c>
      <c r="AH7" s="40" t="n">
        <v>-0.12</v>
      </c>
      <c r="AI7" s="40" t="n">
        <v>6</v>
      </c>
      <c r="AJ7" s="40" t="n">
        <v>2</v>
      </c>
      <c r="AK7" s="40" t="n">
        <v>1</v>
      </c>
      <c r="AL7" s="40" t="n">
        <v>3</v>
      </c>
      <c r="AM7" s="40" t="n">
        <v>3</v>
      </c>
      <c r="AN7" s="40" t="n">
        <v>6</v>
      </c>
      <c r="AO7" s="40" t="n">
        <v>-3</v>
      </c>
      <c r="AP7" s="40" t="n">
        <v>7</v>
      </c>
      <c r="AQ7" s="40" t="n">
        <v>1.17</v>
      </c>
      <c r="AR7" s="40" t="n">
        <v>4.9</v>
      </c>
      <c r="AS7" s="40" t="n">
        <v>9.1</v>
      </c>
      <c r="AT7" s="40" t="n">
        <v>-4.2</v>
      </c>
      <c r="AU7" s="40" t="n">
        <v>-0.71</v>
      </c>
      <c r="AV7" s="40" t="n">
        <v>24</v>
      </c>
      <c r="AW7" s="40" t="n">
        <v>25.8</v>
      </c>
      <c r="AX7" s="40" t="n">
        <v>43.2</v>
      </c>
      <c r="AY7" s="40" t="n">
        <v>13</v>
      </c>
      <c r="AZ7" s="40" t="n">
        <v>143</v>
      </c>
      <c r="BA7" s="40" t="n">
        <v>1170</v>
      </c>
      <c r="BB7" s="40" t="n">
        <v>13</v>
      </c>
      <c r="BC7" s="40" t="n">
        <v>16</v>
      </c>
      <c r="BD7" s="40" t="n">
        <v>11</v>
      </c>
      <c r="BE7" s="40" t="n">
        <v>27</v>
      </c>
      <c r="BF7" s="40" t="n">
        <v>14</v>
      </c>
      <c r="BG7" s="40" t="n">
        <v>2</v>
      </c>
      <c r="BH7" s="40" t="n">
        <v>2</v>
      </c>
      <c r="BI7" s="40" t="n">
        <v>27</v>
      </c>
      <c r="BJ7" s="40" t="n">
        <v>1</v>
      </c>
      <c r="BK7" s="40" t="n">
        <v>11.9</v>
      </c>
      <c r="BL7" s="40" t="n">
        <v>10.3</v>
      </c>
      <c r="BM7" s="40" t="n">
        <v>7.7</v>
      </c>
      <c r="BN7" s="40" t="n">
        <v>18</v>
      </c>
      <c r="BO7" s="40" t="n">
        <v>174</v>
      </c>
      <c r="BP7" s="40" t="n">
        <v>389</v>
      </c>
      <c r="BQ7" s="40" t="n">
        <v>1.23</v>
      </c>
      <c r="BR7" s="40" t="n">
        <v>0.85</v>
      </c>
      <c r="BS7" s="40" t="n">
        <v>2.08</v>
      </c>
      <c r="BT7" s="40" t="n">
        <v>1.08</v>
      </c>
      <c r="BU7" s="40" t="n">
        <v>1.92</v>
      </c>
      <c r="BV7" s="40" t="n">
        <v>0.92</v>
      </c>
      <c r="BW7" s="40" t="n">
        <v>0.59</v>
      </c>
      <c r="BX7" s="40" t="n">
        <v>1.51</v>
      </c>
      <c r="BY7" s="40" t="n">
        <v>0.8</v>
      </c>
      <c r="BZ7" s="40" t="n">
        <v>1.39</v>
      </c>
      <c r="CA7" s="40" t="n">
        <v>24</v>
      </c>
      <c r="CB7" s="40" t="n">
        <v>13</v>
      </c>
      <c r="CC7" s="40" t="n">
        <v>16</v>
      </c>
      <c r="CD7" s="40" t="n">
        <v>125</v>
      </c>
      <c r="CE7" s="40" t="n">
        <v>36</v>
      </c>
      <c r="CF7" s="40" t="n">
        <v>28.8</v>
      </c>
      <c r="CG7" s="40" t="n">
        <v>9.619999999999999</v>
      </c>
      <c r="CH7" s="40" t="n">
        <v>2.77</v>
      </c>
      <c r="CI7" s="40" t="n">
        <v>0.11</v>
      </c>
      <c r="CJ7" s="40" t="n">
        <v>0.39</v>
      </c>
      <c r="CK7" s="40" t="n">
        <v>15.6</v>
      </c>
      <c r="CL7" s="40" t="n">
        <v>1</v>
      </c>
      <c r="CM7" s="40" t="n">
        <v>2</v>
      </c>
      <c r="CN7" s="40" t="n">
        <v>2</v>
      </c>
      <c r="CO7" s="40" t="n">
        <v>11.9</v>
      </c>
      <c r="CP7" s="40" t="n">
        <v>10.3</v>
      </c>
      <c r="CQ7" s="40" t="n">
        <v>0.08</v>
      </c>
      <c r="CR7" s="40" t="n">
        <v>4.1</v>
      </c>
      <c r="CS7" s="40" t="n">
        <v>3.7</v>
      </c>
      <c r="CT7" s="40" t="n">
        <v>24</v>
      </c>
      <c r="CU7" s="40" t="n">
        <v>13</v>
      </c>
      <c r="CV7" s="40" t="n">
        <v>4096</v>
      </c>
      <c r="CW7" s="40" t="n">
        <v>5365</v>
      </c>
      <c r="CX7" s="40" t="n">
        <v>76.3</v>
      </c>
      <c r="CY7" s="40" t="n">
        <v>73612</v>
      </c>
      <c r="CZ7" s="40" t="n">
        <v>26847</v>
      </c>
      <c r="DA7" s="40" t="n">
        <v>1804</v>
      </c>
      <c r="DB7" s="40" t="n">
        <v>2047</v>
      </c>
      <c r="DC7" s="40" t="n">
        <v>88.09999999999999</v>
      </c>
      <c r="DD7" s="40" t="n">
        <v>1769</v>
      </c>
      <c r="DE7" s="40" t="n">
        <v>2090</v>
      </c>
      <c r="DF7" s="40" t="n">
        <v>84.59999999999999</v>
      </c>
      <c r="DG7" s="40" t="n">
        <v>416</v>
      </c>
      <c r="DH7" s="40" t="n">
        <v>917</v>
      </c>
      <c r="DI7" s="40" t="n">
        <v>45.4</v>
      </c>
      <c r="DJ7" s="40" t="n">
        <v>11</v>
      </c>
      <c r="DK7" s="40" t="n">
        <v>7.7</v>
      </c>
      <c r="DL7" s="40" t="n">
        <v>6.8</v>
      </c>
      <c r="DM7" s="40" t="n">
        <v>3.3</v>
      </c>
      <c r="DN7" s="40" t="n">
        <v>91</v>
      </c>
      <c r="DO7" s="40" t="n">
        <v>346</v>
      </c>
      <c r="DP7" s="40" t="n">
        <v>84</v>
      </c>
      <c r="DQ7" s="40" t="n">
        <v>22</v>
      </c>
      <c r="DR7" s="40" t="n">
        <v>389</v>
      </c>
      <c r="DS7" s="40" t="n">
        <v>24</v>
      </c>
      <c r="DT7" s="40" t="n">
        <v>13</v>
      </c>
      <c r="DU7" s="40" t="n">
        <v>5365</v>
      </c>
      <c r="DV7" s="40" t="n">
        <v>4794</v>
      </c>
      <c r="DW7" s="40" t="n">
        <v>552</v>
      </c>
      <c r="DX7" s="40" t="n">
        <v>148</v>
      </c>
      <c r="DY7" s="40" t="n">
        <v>17</v>
      </c>
      <c r="DZ7" s="40" t="n">
        <v>22</v>
      </c>
      <c r="EA7" s="40" t="n">
        <v>216</v>
      </c>
      <c r="EB7" s="40" t="n">
        <v>220</v>
      </c>
      <c r="EC7" s="40" t="n">
        <v>46</v>
      </c>
      <c r="ED7" s="40" t="n">
        <v>38</v>
      </c>
      <c r="EE7" s="40" t="n">
        <v>0</v>
      </c>
      <c r="EF7" s="40" t="n">
        <v>2</v>
      </c>
      <c r="EG7" s="40" t="n">
        <v>4096</v>
      </c>
      <c r="EH7" s="40" t="n">
        <v>19</v>
      </c>
      <c r="EI7" s="40" t="n">
        <v>108</v>
      </c>
      <c r="EJ7" s="40" t="n">
        <v>24</v>
      </c>
      <c r="EK7" s="40" t="n">
        <v>13</v>
      </c>
      <c r="EL7" s="40" t="n">
        <v>217</v>
      </c>
      <c r="EM7" s="40" t="n">
        <v>117</v>
      </c>
      <c r="EN7" s="40" t="n">
        <v>117</v>
      </c>
      <c r="EO7" s="40" t="n">
        <v>73</v>
      </c>
      <c r="EP7" s="40" t="n">
        <v>27</v>
      </c>
      <c r="EQ7" s="40" t="n">
        <v>119</v>
      </c>
      <c r="ER7" s="40" t="n">
        <v>190</v>
      </c>
      <c r="ES7" s="40" t="n">
        <v>62.6</v>
      </c>
      <c r="ET7" s="40" t="n">
        <v>71</v>
      </c>
      <c r="EU7" s="40" t="n">
        <v>132</v>
      </c>
      <c r="EV7" s="40" t="n">
        <v>51</v>
      </c>
      <c r="EW7" s="40" t="n">
        <v>81</v>
      </c>
      <c r="EX7" s="40" t="n">
        <v>100</v>
      </c>
      <c r="EY7" s="40" t="n">
        <v>317</v>
      </c>
      <c r="EZ7" s="40" t="n">
        <v>434</v>
      </c>
      <c r="FA7" s="40" t="n">
        <v>13</v>
      </c>
      <c r="FB7" s="40" t="n">
        <v>24</v>
      </c>
      <c r="FC7" s="40" t="n">
        <v>43.2</v>
      </c>
      <c r="FD7" s="40" t="n">
        <v>13</v>
      </c>
      <c r="FE7" s="40" t="n">
        <v>6823</v>
      </c>
      <c r="FF7" s="40" t="n">
        <v>859</v>
      </c>
      <c r="FG7" s="40" t="n">
        <v>2420</v>
      </c>
      <c r="FH7" s="40" t="n">
        <v>2999</v>
      </c>
      <c r="FI7" s="40" t="n">
        <v>1476</v>
      </c>
      <c r="FJ7" s="40" t="n">
        <v>231</v>
      </c>
      <c r="FK7" s="40" t="n">
        <v>6821</v>
      </c>
      <c r="FL7" s="40" t="n">
        <v>170</v>
      </c>
      <c r="FM7" s="40" t="n">
        <v>74</v>
      </c>
      <c r="FN7" s="40" t="n">
        <v>43.5</v>
      </c>
      <c r="FO7" s="40" t="n">
        <v>82</v>
      </c>
      <c r="FP7" s="40" t="n">
        <v>48.2</v>
      </c>
      <c r="FQ7" s="40" t="n">
        <v>3828</v>
      </c>
      <c r="FR7" s="40" t="n">
        <v>19535</v>
      </c>
      <c r="FS7" s="40" t="n">
        <v>10224</v>
      </c>
      <c r="FT7" s="40" t="n">
        <v>174</v>
      </c>
      <c r="FU7" s="40" t="n">
        <v>131</v>
      </c>
      <c r="FV7" s="40" t="n">
        <v>36</v>
      </c>
      <c r="FW7" s="40" t="n">
        <v>160</v>
      </c>
      <c r="FX7" s="40" t="n">
        <v>94</v>
      </c>
      <c r="FY7" s="40" t="n">
        <v>4042</v>
      </c>
      <c r="FZ7" s="40" t="n">
        <v>385</v>
      </c>
      <c r="GA7" s="40" t="n">
        <v>24</v>
      </c>
      <c r="GB7" s="40" t="n">
        <v>25.8</v>
      </c>
      <c r="GC7" s="40" t="n">
        <v>13</v>
      </c>
      <c r="GD7" s="40" t="n">
        <v>1170</v>
      </c>
      <c r="GE7" s="40" t="n">
        <v>90</v>
      </c>
      <c r="GF7" s="40" t="n">
        <v>100</v>
      </c>
      <c r="GG7" s="40" t="n">
        <v>13</v>
      </c>
      <c r="GH7" s="40" t="n">
        <v>143</v>
      </c>
      <c r="GI7" s="40" t="n">
        <v>82</v>
      </c>
      <c r="GJ7" s="40" t="n">
        <v>91</v>
      </c>
      <c r="GK7" s="40" t="n">
        <v>51</v>
      </c>
      <c r="GL7" s="40" t="n">
        <v>20</v>
      </c>
      <c r="GM7" s="40" t="n">
        <v>66</v>
      </c>
      <c r="GN7" s="40" t="n">
        <v>1.69</v>
      </c>
      <c r="GO7" s="40" t="n">
        <v>17</v>
      </c>
      <c r="GP7" s="40" t="n">
        <v>13</v>
      </c>
      <c r="GQ7" s="40" t="n">
        <v>4</v>
      </c>
      <c r="GR7" s="40" t="n">
        <v>0.31</v>
      </c>
      <c r="GS7" s="40" t="n">
        <v>11.9</v>
      </c>
      <c r="GT7" s="40" t="n">
        <v>17</v>
      </c>
      <c r="GU7" s="40" t="n">
        <v>-5.1</v>
      </c>
      <c r="GV7" s="40" t="n">
        <v>-0.39</v>
      </c>
      <c r="GW7" s="40" t="n">
        <v>24</v>
      </c>
      <c r="GX7" s="40" t="n">
        <v>13</v>
      </c>
      <c r="GY7" s="40" t="n">
        <v>27</v>
      </c>
      <c r="GZ7" s="40" t="n">
        <v>1</v>
      </c>
      <c r="HA7" s="40" t="n">
        <v>0</v>
      </c>
      <c r="HB7" s="40" t="n">
        <v>132</v>
      </c>
      <c r="HC7" s="40" t="n">
        <v>134</v>
      </c>
      <c r="HD7" s="40" t="n">
        <v>19</v>
      </c>
      <c r="HE7" s="40" t="n">
        <v>216</v>
      </c>
      <c r="HF7" s="40" t="n">
        <v>100</v>
      </c>
      <c r="HG7" s="40" t="n">
        <v>117</v>
      </c>
      <c r="HH7" s="40" t="n">
        <v>2</v>
      </c>
      <c r="HI7" s="40" t="n">
        <v>1</v>
      </c>
      <c r="HJ7" s="40" t="n">
        <v>0</v>
      </c>
      <c r="HK7" s="40" t="n">
        <v>450</v>
      </c>
      <c r="HL7" s="40" t="n">
        <v>240</v>
      </c>
      <c r="HM7" s="40" t="n">
        <v>232</v>
      </c>
      <c r="HN7" s="40" t="n">
        <v>50.8</v>
      </c>
      <c r="HO7" s="40" t="n">
        <v>1</v>
      </c>
      <c r="HP7" s="40" t="n">
        <v>13</v>
      </c>
      <c r="HQ7" s="40" t="n">
        <v>13</v>
      </c>
      <c r="HR7" s="40" t="n">
        <v>1170</v>
      </c>
      <c r="HS7" s="40" t="n">
        <v>13</v>
      </c>
      <c r="HT7" s="40" t="n">
        <v>13</v>
      </c>
      <c r="HU7" s="40" t="n">
        <v>1</v>
      </c>
      <c r="HV7" s="40" t="n">
        <v>59</v>
      </c>
      <c r="HW7" s="40" t="n">
        <v>45</v>
      </c>
      <c r="HX7" s="40" t="n">
        <v>78</v>
      </c>
      <c r="HY7" s="40" t="n">
        <v>6</v>
      </c>
      <c r="HZ7" s="40" t="n">
        <v>4</v>
      </c>
      <c r="IA7" s="40" t="n">
        <v>3</v>
      </c>
      <c r="IB7" s="40" t="n">
        <v>4</v>
      </c>
      <c r="IC7" s="40" t="n">
        <v>30.8</v>
      </c>
      <c r="ID7" s="40" t="n">
        <v>1</v>
      </c>
      <c r="IE7" s="40" t="n">
        <v>0</v>
      </c>
      <c r="IF7" s="40" t="n">
        <v>1</v>
      </c>
      <c r="IG7" s="40" t="n">
        <v>0</v>
      </c>
      <c r="IH7" s="40" t="n">
        <v>100</v>
      </c>
      <c r="II7" s="40" t="n">
        <v>1</v>
      </c>
      <c r="IJ7" s="40" t="n">
        <v>13</v>
      </c>
      <c r="IK7" s="40" t="n">
        <v>13</v>
      </c>
      <c r="IL7" s="40" t="n">
        <v>0</v>
      </c>
      <c r="IM7" s="40" t="n">
        <v>0</v>
      </c>
      <c r="IN7" s="40" t="n">
        <v>1</v>
      </c>
      <c r="IO7" s="40" t="n">
        <v>0</v>
      </c>
      <c r="IP7" s="40" t="n">
        <v>15.3</v>
      </c>
      <c r="IQ7" s="40" t="n">
        <v>0.27</v>
      </c>
      <c r="IR7" s="40" t="n">
        <v>2.3</v>
      </c>
      <c r="IS7" s="40" t="n">
        <v>0.17</v>
      </c>
      <c r="IT7" s="40" t="n">
        <v>67</v>
      </c>
      <c r="IU7" s="40" t="n">
        <v>242</v>
      </c>
      <c r="IV7" s="40" t="n">
        <v>27.7</v>
      </c>
      <c r="IW7" s="40" t="n">
        <v>422</v>
      </c>
      <c r="IX7" s="40" t="n">
        <v>45</v>
      </c>
      <c r="IY7" s="40" t="n">
        <v>40.8</v>
      </c>
      <c r="IZ7" s="40" t="n">
        <v>35.7</v>
      </c>
      <c r="JA7" s="40" t="n">
        <v>112</v>
      </c>
      <c r="JB7" s="40" t="n">
        <v>62.5</v>
      </c>
      <c r="JC7" s="40" t="n">
        <v>47.9</v>
      </c>
      <c r="JD7" s="40" t="n">
        <v>218</v>
      </c>
      <c r="JE7" s="40" t="n">
        <v>22</v>
      </c>
      <c r="JF7" s="40" t="n">
        <v>10.1</v>
      </c>
      <c r="JG7" s="40" t="n">
        <v>13</v>
      </c>
      <c r="JH7" s="40" t="n">
        <v>1</v>
      </c>
      <c r="JI7" s="40" t="n">
        <v>11.7</v>
      </c>
      <c r="JJ7" s="40" t="n">
        <v>13</v>
      </c>
      <c r="JK7" s="40" t="n">
        <v>11.9</v>
      </c>
      <c r="JL7" s="40" t="n">
        <v>43.2</v>
      </c>
      <c r="JM7" s="40" t="n">
        <v>125</v>
      </c>
      <c r="JN7" s="40" t="n">
        <v>36</v>
      </c>
      <c r="JO7" s="40" t="n">
        <v>28.8</v>
      </c>
      <c r="JP7" s="40" t="n">
        <v>10.3</v>
      </c>
      <c r="JQ7" s="40" t="n">
        <v>4096</v>
      </c>
      <c r="JR7" s="40" t="n">
        <v>5365</v>
      </c>
      <c r="JS7" s="40" t="n">
        <v>76.3</v>
      </c>
      <c r="JT7" s="40" t="n">
        <v>217</v>
      </c>
      <c r="JU7" s="40" t="n">
        <v>117</v>
      </c>
      <c r="JV7" s="40" t="n">
        <v>100</v>
      </c>
      <c r="JW7" s="40" t="n">
        <v>434</v>
      </c>
      <c r="JX7" s="40" t="n">
        <v>132</v>
      </c>
      <c r="JY7" s="40" t="n">
        <v>134</v>
      </c>
      <c r="JZ7" s="40" t="n">
        <v>27</v>
      </c>
      <c r="KA7" s="40" t="n">
        <v>1</v>
      </c>
      <c r="KB7" s="40" t="n">
        <v>30.7692307692</v>
      </c>
      <c r="KC7" s="40" t="n">
        <v>28.8</v>
      </c>
      <c r="KD7" s="40" t="n">
        <v>76.3</v>
      </c>
      <c r="KE7" s="40" t="n">
        <v>53.9170506912</v>
      </c>
    </row>
    <row r="8">
      <c r="A8" s="40" t="inlineStr">
        <is>
          <t>Manchester Utd</t>
        </is>
      </c>
      <c r="B8" s="40" t="n">
        <v>7</v>
      </c>
      <c r="C8" s="40" t="n">
        <v>13</v>
      </c>
      <c r="D8" s="40" t="n">
        <v>6</v>
      </c>
      <c r="E8" s="40" t="n">
        <v>3</v>
      </c>
      <c r="F8" s="40" t="n">
        <v>4</v>
      </c>
      <c r="G8" s="40" t="n">
        <v>21</v>
      </c>
      <c r="H8" s="40" t="n">
        <v>20</v>
      </c>
      <c r="I8" s="40" t="n">
        <v>1</v>
      </c>
      <c r="J8" s="40" t="n">
        <v>21</v>
      </c>
      <c r="K8" s="40" t="n">
        <v>1.62</v>
      </c>
      <c r="L8" s="40" t="n">
        <v>21.1</v>
      </c>
      <c r="M8" s="40" t="n">
        <v>18.4</v>
      </c>
      <c r="N8" s="40" t="n">
        <v>2.7</v>
      </c>
      <c r="O8" s="40" t="n">
        <v>0.21</v>
      </c>
      <c r="P8" s="40" t="inlineStr">
        <is>
          <t>W D D L W</t>
        </is>
      </c>
      <c r="Q8" s="40" t="n">
        <v>74024</v>
      </c>
      <c r="R8" s="40" t="inlineStr">
        <is>
          <t>Bryan Mbeumo - 5</t>
        </is>
      </c>
      <c r="S8" s="40" t="inlineStr">
        <is>
          <t>Senne Lammens</t>
        </is>
      </c>
      <c r="T8" s="40" t="n">
        <v/>
      </c>
      <c r="U8" s="40" t="n">
        <v>7</v>
      </c>
      <c r="V8" s="40" t="n">
        <v>6</v>
      </c>
      <c r="W8" s="40" t="n">
        <v>4</v>
      </c>
      <c r="X8" s="40" t="n">
        <v>0</v>
      </c>
      <c r="Y8" s="40" t="n">
        <v>2</v>
      </c>
      <c r="Z8" s="40" t="n">
        <v>11</v>
      </c>
      <c r="AA8" s="40" t="n">
        <v>7</v>
      </c>
      <c r="AB8" s="40" t="n">
        <v>4</v>
      </c>
      <c r="AC8" s="40" t="n">
        <v>12</v>
      </c>
      <c r="AD8" s="40" t="n">
        <v>2</v>
      </c>
      <c r="AE8" s="40" t="n">
        <v>11.7</v>
      </c>
      <c r="AF8" s="40" t="n">
        <v>4.9</v>
      </c>
      <c r="AG8" s="40" t="n">
        <v>6.8</v>
      </c>
      <c r="AH8" s="40" t="n">
        <v>1.14</v>
      </c>
      <c r="AI8" s="40" t="n">
        <v>7</v>
      </c>
      <c r="AJ8" s="40" t="n">
        <v>2</v>
      </c>
      <c r="AK8" s="40" t="n">
        <v>3</v>
      </c>
      <c r="AL8" s="40" t="n">
        <v>2</v>
      </c>
      <c r="AM8" s="40" t="n">
        <v>10</v>
      </c>
      <c r="AN8" s="40" t="n">
        <v>13</v>
      </c>
      <c r="AO8" s="40" t="n">
        <v>-3</v>
      </c>
      <c r="AP8" s="40" t="n">
        <v>9</v>
      </c>
      <c r="AQ8" s="40" t="n">
        <v>1.29</v>
      </c>
      <c r="AR8" s="40" t="n">
        <v>9.4</v>
      </c>
      <c r="AS8" s="40" t="n">
        <v>13.5</v>
      </c>
      <c r="AT8" s="40" t="n">
        <v>-4.1</v>
      </c>
      <c r="AU8" s="40" t="n">
        <v>-0.59</v>
      </c>
      <c r="AV8" s="40" t="n">
        <v>21</v>
      </c>
      <c r="AW8" s="40" t="n">
        <v>26.5</v>
      </c>
      <c r="AX8" s="40" t="n">
        <v>52.3</v>
      </c>
      <c r="AY8" s="40" t="n">
        <v>13</v>
      </c>
      <c r="AZ8" s="40" t="n">
        <v>143</v>
      </c>
      <c r="BA8" s="40" t="n">
        <v>1170</v>
      </c>
      <c r="BB8" s="40" t="n">
        <v>13</v>
      </c>
      <c r="BC8" s="40" t="n">
        <v>19</v>
      </c>
      <c r="BD8" s="40" t="n">
        <v>15</v>
      </c>
      <c r="BE8" s="40" t="n">
        <v>34</v>
      </c>
      <c r="BF8" s="40" t="n">
        <v>18</v>
      </c>
      <c r="BG8" s="40" t="n">
        <v>1</v>
      </c>
      <c r="BH8" s="40" t="n">
        <v>3</v>
      </c>
      <c r="BI8" s="40" t="n">
        <v>18</v>
      </c>
      <c r="BJ8" s="40" t="n">
        <v>1</v>
      </c>
      <c r="BK8" s="40" t="n">
        <v>21.1</v>
      </c>
      <c r="BL8" s="40" t="n">
        <v>18.7</v>
      </c>
      <c r="BM8" s="40" t="n">
        <v>13.8</v>
      </c>
      <c r="BN8" s="40" t="n">
        <v>32.6</v>
      </c>
      <c r="BO8" s="40" t="n">
        <v>239</v>
      </c>
      <c r="BP8" s="40" t="n">
        <v>525</v>
      </c>
      <c r="BQ8" s="40" t="n">
        <v>1.46</v>
      </c>
      <c r="BR8" s="40" t="n">
        <v>1.15</v>
      </c>
      <c r="BS8" s="40" t="n">
        <v>2.62</v>
      </c>
      <c r="BT8" s="40" t="n">
        <v>1.38</v>
      </c>
      <c r="BU8" s="40" t="n">
        <v>2.54</v>
      </c>
      <c r="BV8" s="40" t="n">
        <v>1.62</v>
      </c>
      <c r="BW8" s="40" t="n">
        <v>1.06</v>
      </c>
      <c r="BX8" s="40" t="n">
        <v>2.69</v>
      </c>
      <c r="BY8" s="40" t="n">
        <v>1.44</v>
      </c>
      <c r="BZ8" s="40" t="n">
        <v>2.51</v>
      </c>
      <c r="CA8" s="40" t="n">
        <v>21</v>
      </c>
      <c r="CB8" s="40" t="n">
        <v>13</v>
      </c>
      <c r="CC8" s="40" t="n">
        <v>19</v>
      </c>
      <c r="CD8" s="40" t="n">
        <v>194</v>
      </c>
      <c r="CE8" s="40" t="n">
        <v>65</v>
      </c>
      <c r="CF8" s="40" t="n">
        <v>33.5</v>
      </c>
      <c r="CG8" s="40" t="n">
        <v>14.92</v>
      </c>
      <c r="CH8" s="40" t="n">
        <v>5</v>
      </c>
      <c r="CI8" s="40" t="n">
        <v>0.09</v>
      </c>
      <c r="CJ8" s="40" t="n">
        <v>0.28</v>
      </c>
      <c r="CK8" s="40" t="n">
        <v>16.6</v>
      </c>
      <c r="CL8" s="40" t="n">
        <v>2</v>
      </c>
      <c r="CM8" s="40" t="n">
        <v>1</v>
      </c>
      <c r="CN8" s="40" t="n">
        <v>3</v>
      </c>
      <c r="CO8" s="40" t="n">
        <v>21.1</v>
      </c>
      <c r="CP8" s="40" t="n">
        <v>18.7</v>
      </c>
      <c r="CQ8" s="40" t="n">
        <v>0.1</v>
      </c>
      <c r="CR8" s="40" t="n">
        <v>-2.1</v>
      </c>
      <c r="CS8" s="40" t="n">
        <v>-0.7</v>
      </c>
      <c r="CT8" s="40" t="n">
        <v>21</v>
      </c>
      <c r="CU8" s="40" t="n">
        <v>13</v>
      </c>
      <c r="CV8" s="40" t="n">
        <v>5074</v>
      </c>
      <c r="CW8" s="40" t="n">
        <v>6422</v>
      </c>
      <c r="CX8" s="40" t="n">
        <v>79</v>
      </c>
      <c r="CY8" s="40" t="n">
        <v>89091</v>
      </c>
      <c r="CZ8" s="40" t="n">
        <v>31816</v>
      </c>
      <c r="DA8" s="40" t="n">
        <v>2339</v>
      </c>
      <c r="DB8" s="40" t="n">
        <v>2656</v>
      </c>
      <c r="DC8" s="40" t="n">
        <v>88.09999999999999</v>
      </c>
      <c r="DD8" s="40" t="n">
        <v>2095</v>
      </c>
      <c r="DE8" s="40" t="n">
        <v>2468</v>
      </c>
      <c r="DF8" s="40" t="n">
        <v>84.90000000000001</v>
      </c>
      <c r="DG8" s="40" t="n">
        <v>496</v>
      </c>
      <c r="DH8" s="40" t="n">
        <v>957</v>
      </c>
      <c r="DI8" s="40" t="n">
        <v>51.8</v>
      </c>
      <c r="DJ8" s="40" t="n">
        <v>15</v>
      </c>
      <c r="DK8" s="40" t="n">
        <v>13.8</v>
      </c>
      <c r="DL8" s="40" t="n">
        <v>13.5</v>
      </c>
      <c r="DM8" s="40" t="n">
        <v>1.2</v>
      </c>
      <c r="DN8" s="40" t="n">
        <v>150</v>
      </c>
      <c r="DO8" s="40" t="n">
        <v>413</v>
      </c>
      <c r="DP8" s="40" t="n">
        <v>108</v>
      </c>
      <c r="DQ8" s="40" t="n">
        <v>35</v>
      </c>
      <c r="DR8" s="40" t="n">
        <v>525</v>
      </c>
      <c r="DS8" s="40" t="n">
        <v>21</v>
      </c>
      <c r="DT8" s="40" t="n">
        <v>13</v>
      </c>
      <c r="DU8" s="40" t="n">
        <v>6422</v>
      </c>
      <c r="DV8" s="40" t="n">
        <v>5792</v>
      </c>
      <c r="DW8" s="40" t="n">
        <v>611</v>
      </c>
      <c r="DX8" s="40" t="n">
        <v>169</v>
      </c>
      <c r="DY8" s="40" t="n">
        <v>41</v>
      </c>
      <c r="DZ8" s="40" t="n">
        <v>44</v>
      </c>
      <c r="EA8" s="40" t="n">
        <v>227</v>
      </c>
      <c r="EB8" s="40" t="n">
        <v>255</v>
      </c>
      <c r="EC8" s="40" t="n">
        <v>55</v>
      </c>
      <c r="ED8" s="40" t="n">
        <v>44</v>
      </c>
      <c r="EE8" s="40" t="n">
        <v>1</v>
      </c>
      <c r="EF8" s="40" t="n">
        <v>3</v>
      </c>
      <c r="EG8" s="40" t="n">
        <v>5074</v>
      </c>
      <c r="EH8" s="40" t="n">
        <v>19</v>
      </c>
      <c r="EI8" s="40" t="n">
        <v>115</v>
      </c>
      <c r="EJ8" s="40" t="n">
        <v>21</v>
      </c>
      <c r="EK8" s="40" t="n">
        <v>13</v>
      </c>
      <c r="EL8" s="40" t="n">
        <v>231</v>
      </c>
      <c r="EM8" s="40" t="n">
        <v>134</v>
      </c>
      <c r="EN8" s="40" t="n">
        <v>100</v>
      </c>
      <c r="EO8" s="40" t="n">
        <v>96</v>
      </c>
      <c r="EP8" s="40" t="n">
        <v>35</v>
      </c>
      <c r="EQ8" s="40" t="n">
        <v>111</v>
      </c>
      <c r="ER8" s="40" t="n">
        <v>201</v>
      </c>
      <c r="ES8" s="40" t="n">
        <v>55.2</v>
      </c>
      <c r="ET8" s="40" t="n">
        <v>90</v>
      </c>
      <c r="EU8" s="40" t="n">
        <v>125</v>
      </c>
      <c r="EV8" s="40" t="n">
        <v>34</v>
      </c>
      <c r="EW8" s="40" t="n">
        <v>91</v>
      </c>
      <c r="EX8" s="40" t="n">
        <v>103</v>
      </c>
      <c r="EY8" s="40" t="n">
        <v>334</v>
      </c>
      <c r="EZ8" s="40" t="n">
        <v>324</v>
      </c>
      <c r="FA8" s="40" t="n">
        <v>10</v>
      </c>
      <c r="FB8" s="40" t="n">
        <v>21</v>
      </c>
      <c r="FC8" s="40" t="n">
        <v>52.3</v>
      </c>
      <c r="FD8" s="40" t="n">
        <v>13</v>
      </c>
      <c r="FE8" s="40" t="n">
        <v>7985</v>
      </c>
      <c r="FF8" s="40" t="n">
        <v>823</v>
      </c>
      <c r="FG8" s="40" t="n">
        <v>2355</v>
      </c>
      <c r="FH8" s="40" t="n">
        <v>3661</v>
      </c>
      <c r="FI8" s="40" t="n">
        <v>2035</v>
      </c>
      <c r="FJ8" s="40" t="n">
        <v>323</v>
      </c>
      <c r="FK8" s="40" t="n">
        <v>7982</v>
      </c>
      <c r="FL8" s="40" t="n">
        <v>194</v>
      </c>
      <c r="FM8" s="40" t="n">
        <v>73</v>
      </c>
      <c r="FN8" s="40" t="n">
        <v>37.6</v>
      </c>
      <c r="FO8" s="40" t="n">
        <v>101</v>
      </c>
      <c r="FP8" s="40" t="n">
        <v>52.1</v>
      </c>
      <c r="FQ8" s="40" t="n">
        <v>4272</v>
      </c>
      <c r="FR8" s="40" t="n">
        <v>20823</v>
      </c>
      <c r="FS8" s="40" t="n">
        <v>11109</v>
      </c>
      <c r="FT8" s="40" t="n">
        <v>239</v>
      </c>
      <c r="FU8" s="40" t="n">
        <v>172</v>
      </c>
      <c r="FV8" s="40" t="n">
        <v>66</v>
      </c>
      <c r="FW8" s="40" t="n">
        <v>234</v>
      </c>
      <c r="FX8" s="40" t="n">
        <v>105</v>
      </c>
      <c r="FY8" s="40" t="n">
        <v>5028</v>
      </c>
      <c r="FZ8" s="40" t="n">
        <v>524</v>
      </c>
      <c r="GA8" s="40" t="n">
        <v>21</v>
      </c>
      <c r="GB8" s="40" t="n">
        <v>26.5</v>
      </c>
      <c r="GC8" s="40" t="n">
        <v>13</v>
      </c>
      <c r="GD8" s="40" t="n">
        <v>1170</v>
      </c>
      <c r="GE8" s="40" t="n">
        <v>90</v>
      </c>
      <c r="GF8" s="40" t="n">
        <v>100</v>
      </c>
      <c r="GG8" s="40" t="n">
        <v>13</v>
      </c>
      <c r="GH8" s="40" t="n">
        <v>143</v>
      </c>
      <c r="GI8" s="40" t="n">
        <v>82</v>
      </c>
      <c r="GJ8" s="40" t="n">
        <v>87</v>
      </c>
      <c r="GK8" s="40" t="n">
        <v>55</v>
      </c>
      <c r="GL8" s="40" t="n">
        <v>21</v>
      </c>
      <c r="GM8" s="40" t="n">
        <v>62</v>
      </c>
      <c r="GN8" s="40" t="n">
        <v>1.62</v>
      </c>
      <c r="GO8" s="40" t="n">
        <v>21</v>
      </c>
      <c r="GP8" s="40" t="n">
        <v>20</v>
      </c>
      <c r="GQ8" s="40" t="n">
        <v>1</v>
      </c>
      <c r="GR8" s="40" t="n">
        <v>0.08</v>
      </c>
      <c r="GS8" s="40" t="n">
        <v>21.1</v>
      </c>
      <c r="GT8" s="40" t="n">
        <v>18.4</v>
      </c>
      <c r="GU8" s="40" t="n">
        <v>2.7</v>
      </c>
      <c r="GV8" s="40" t="n">
        <v>0.21</v>
      </c>
      <c r="GW8" s="40" t="n">
        <v>21</v>
      </c>
      <c r="GX8" s="40" t="n">
        <v>13</v>
      </c>
      <c r="GY8" s="40" t="n">
        <v>18</v>
      </c>
      <c r="GZ8" s="40" t="n">
        <v>1</v>
      </c>
      <c r="HA8" s="40" t="n">
        <v>1</v>
      </c>
      <c r="HB8" s="40" t="n">
        <v>129</v>
      </c>
      <c r="HC8" s="40" t="n">
        <v>145</v>
      </c>
      <c r="HD8" s="40" t="n">
        <v>19</v>
      </c>
      <c r="HE8" s="40" t="n">
        <v>227</v>
      </c>
      <c r="HF8" s="40" t="n">
        <v>103</v>
      </c>
      <c r="HG8" s="40" t="n">
        <v>134</v>
      </c>
      <c r="HH8" s="40" t="n">
        <v>3</v>
      </c>
      <c r="HI8" s="40" t="n">
        <v>1</v>
      </c>
      <c r="HJ8" s="40" t="n">
        <v>0</v>
      </c>
      <c r="HK8" s="40" t="n">
        <v>551</v>
      </c>
      <c r="HL8" s="40" t="n">
        <v>245</v>
      </c>
      <c r="HM8" s="40" t="n">
        <v>253</v>
      </c>
      <c r="HN8" s="40" t="n">
        <v>49.2</v>
      </c>
      <c r="HO8" s="40" t="n">
        <v>2</v>
      </c>
      <c r="HP8" s="40" t="n">
        <v>13</v>
      </c>
      <c r="HQ8" s="40" t="n">
        <v>13</v>
      </c>
      <c r="HR8" s="40" t="n">
        <v>1170</v>
      </c>
      <c r="HS8" s="40" t="n">
        <v>13</v>
      </c>
      <c r="HT8" s="40" t="n">
        <v>20</v>
      </c>
      <c r="HU8" s="40" t="n">
        <v>1.54</v>
      </c>
      <c r="HV8" s="40" t="n">
        <v>49</v>
      </c>
      <c r="HW8" s="40" t="n">
        <v>29</v>
      </c>
      <c r="HX8" s="40" t="n">
        <v>61.2</v>
      </c>
      <c r="HY8" s="40" t="n">
        <v>6</v>
      </c>
      <c r="HZ8" s="40" t="n">
        <v>3</v>
      </c>
      <c r="IA8" s="40" t="n">
        <v>4</v>
      </c>
      <c r="IB8" s="40" t="n">
        <v>1</v>
      </c>
      <c r="IC8" s="40" t="n">
        <v>7.7</v>
      </c>
      <c r="ID8" s="40" t="n">
        <v>1</v>
      </c>
      <c r="IE8" s="40" t="n">
        <v>1</v>
      </c>
      <c r="IF8" s="40" t="n">
        <v>0</v>
      </c>
      <c r="IG8" s="40" t="n">
        <v>0</v>
      </c>
      <c r="IH8" s="40" t="n">
        <v>0</v>
      </c>
      <c r="II8" s="40" t="n">
        <v>2</v>
      </c>
      <c r="IJ8" s="40" t="n">
        <v>13</v>
      </c>
      <c r="IK8" s="40" t="n">
        <v>20</v>
      </c>
      <c r="IL8" s="40" t="n">
        <v>1</v>
      </c>
      <c r="IM8" s="40" t="n">
        <v>1</v>
      </c>
      <c r="IN8" s="40" t="n">
        <v>4</v>
      </c>
      <c r="IO8" s="40" t="n">
        <v>0</v>
      </c>
      <c r="IP8" s="40" t="n">
        <v>19.4</v>
      </c>
      <c r="IQ8" s="40" t="n">
        <v>0.4</v>
      </c>
      <c r="IR8" s="40" t="n">
        <v>-0.6</v>
      </c>
      <c r="IS8" s="40" t="n">
        <v>-0.05</v>
      </c>
      <c r="IT8" s="40" t="n">
        <v>77</v>
      </c>
      <c r="IU8" s="40" t="n">
        <v>268</v>
      </c>
      <c r="IV8" s="40" t="n">
        <v>28.7</v>
      </c>
      <c r="IW8" s="40" t="n">
        <v>368</v>
      </c>
      <c r="IX8" s="40" t="n">
        <v>28</v>
      </c>
      <c r="IY8" s="40" t="n">
        <v>56.5</v>
      </c>
      <c r="IZ8" s="40" t="n">
        <v>37.5</v>
      </c>
      <c r="JA8" s="40" t="n">
        <v>99</v>
      </c>
      <c r="JB8" s="40" t="n">
        <v>60.6</v>
      </c>
      <c r="JC8" s="40" t="n">
        <v>43.6</v>
      </c>
      <c r="JD8" s="40" t="n">
        <v>186</v>
      </c>
      <c r="JE8" s="40" t="n">
        <v>12</v>
      </c>
      <c r="JF8" s="40" t="n">
        <v>6.5</v>
      </c>
      <c r="JG8" s="40" t="n">
        <v>15</v>
      </c>
      <c r="JH8" s="40" t="n">
        <v>1.15</v>
      </c>
      <c r="JI8" s="40" t="n">
        <v>13</v>
      </c>
      <c r="JJ8" s="40" t="n">
        <v>13</v>
      </c>
      <c r="JK8" s="40" t="n">
        <v>21.1</v>
      </c>
      <c r="JL8" s="40" t="n">
        <v>52.3</v>
      </c>
      <c r="JM8" s="40" t="n">
        <v>194</v>
      </c>
      <c r="JN8" s="40" t="n">
        <v>65</v>
      </c>
      <c r="JO8" s="40" t="n">
        <v>33.5</v>
      </c>
      <c r="JP8" s="40" t="n">
        <v>18.7</v>
      </c>
      <c r="JQ8" s="40" t="n">
        <v>5074</v>
      </c>
      <c r="JR8" s="40" t="n">
        <v>6422</v>
      </c>
      <c r="JS8" s="40" t="n">
        <v>79</v>
      </c>
      <c r="JT8" s="40" t="n">
        <v>231</v>
      </c>
      <c r="JU8" s="40" t="n">
        <v>134</v>
      </c>
      <c r="JV8" s="40" t="n">
        <v>103</v>
      </c>
      <c r="JW8" s="40" t="n">
        <v>324</v>
      </c>
      <c r="JX8" s="40" t="n">
        <v>129</v>
      </c>
      <c r="JY8" s="40" t="n">
        <v>145</v>
      </c>
      <c r="JZ8" s="40" t="n">
        <v>18</v>
      </c>
      <c r="KA8" s="40" t="n">
        <v>1</v>
      </c>
      <c r="KB8" s="40" t="n">
        <v>7.6923076923</v>
      </c>
      <c r="KC8" s="40" t="n">
        <v>33.5051546392</v>
      </c>
      <c r="KD8" s="40" t="n">
        <v>79</v>
      </c>
      <c r="KE8" s="40" t="n">
        <v>58.0086580087</v>
      </c>
    </row>
    <row r="9">
      <c r="A9" s="40" t="inlineStr">
        <is>
          <t>Liverpool</t>
        </is>
      </c>
      <c r="B9" s="40" t="n">
        <v>8</v>
      </c>
      <c r="C9" s="40" t="n">
        <v>13</v>
      </c>
      <c r="D9" s="40" t="n">
        <v>7</v>
      </c>
      <c r="E9" s="40" t="n">
        <v>0</v>
      </c>
      <c r="F9" s="40" t="n">
        <v>6</v>
      </c>
      <c r="G9" s="40" t="n">
        <v>20</v>
      </c>
      <c r="H9" s="40" t="n">
        <v>20</v>
      </c>
      <c r="I9" s="40" t="n">
        <v>0</v>
      </c>
      <c r="J9" s="40" t="n">
        <v>21</v>
      </c>
      <c r="K9" s="40" t="n">
        <v>1.62</v>
      </c>
      <c r="L9" s="40" t="n">
        <v>20.8</v>
      </c>
      <c r="M9" s="40" t="n">
        <v>15.8</v>
      </c>
      <c r="N9" s="40" t="n">
        <v>5</v>
      </c>
      <c r="O9" s="40" t="n">
        <v>0.39</v>
      </c>
      <c r="P9" s="40" t="inlineStr">
        <is>
          <t>L W L L W</t>
        </is>
      </c>
      <c r="Q9" s="40" t="n">
        <v>60379</v>
      </c>
      <c r="R9" s="40" t="inlineStr">
        <is>
          <t>Mohamed Salah, Cody Gakpo - 4</t>
        </is>
      </c>
      <c r="S9" s="40" t="inlineStr">
        <is>
          <t>Alisson</t>
        </is>
      </c>
      <c r="T9" s="40" t="n">
        <v/>
      </c>
      <c r="U9" s="40" t="n">
        <v>8</v>
      </c>
      <c r="V9" s="40" t="n">
        <v>6</v>
      </c>
      <c r="W9" s="40" t="n">
        <v>4</v>
      </c>
      <c r="X9" s="40" t="n">
        <v>0</v>
      </c>
      <c r="Y9" s="40" t="n">
        <v>2</v>
      </c>
      <c r="Z9" s="40" t="n">
        <v>10</v>
      </c>
      <c r="AA9" s="40" t="n">
        <v>8</v>
      </c>
      <c r="AB9" s="40" t="n">
        <v>2</v>
      </c>
      <c r="AC9" s="40" t="n">
        <v>12</v>
      </c>
      <c r="AD9" s="40" t="n">
        <v>2</v>
      </c>
      <c r="AE9" s="40" t="n">
        <v>9.300000000000001</v>
      </c>
      <c r="AF9" s="40" t="n">
        <v>6.2</v>
      </c>
      <c r="AG9" s="40" t="n">
        <v>3.1</v>
      </c>
      <c r="AH9" s="40" t="n">
        <v>0.52</v>
      </c>
      <c r="AI9" s="40" t="n">
        <v>7</v>
      </c>
      <c r="AJ9" s="40" t="n">
        <v>3</v>
      </c>
      <c r="AK9" s="40" t="n">
        <v>0</v>
      </c>
      <c r="AL9" s="40" t="n">
        <v>4</v>
      </c>
      <c r="AM9" s="40" t="n">
        <v>10</v>
      </c>
      <c r="AN9" s="40" t="n">
        <v>12</v>
      </c>
      <c r="AO9" s="40" t="n">
        <v>-2</v>
      </c>
      <c r="AP9" s="40" t="n">
        <v>9</v>
      </c>
      <c r="AQ9" s="40" t="n">
        <v>1.29</v>
      </c>
      <c r="AR9" s="40" t="n">
        <v>11.5</v>
      </c>
      <c r="AS9" s="40" t="n">
        <v>9.6</v>
      </c>
      <c r="AT9" s="40" t="n">
        <v>1.9</v>
      </c>
      <c r="AU9" s="40" t="n">
        <v>0.27</v>
      </c>
      <c r="AV9" s="40" t="n">
        <v>22</v>
      </c>
      <c r="AW9" s="40" t="n">
        <v>27</v>
      </c>
      <c r="AX9" s="40" t="n">
        <v>61.2</v>
      </c>
      <c r="AY9" s="40" t="n">
        <v>13</v>
      </c>
      <c r="AZ9" s="40" t="n">
        <v>143</v>
      </c>
      <c r="BA9" s="40" t="n">
        <v>1170</v>
      </c>
      <c r="BB9" s="40" t="n">
        <v>13</v>
      </c>
      <c r="BC9" s="40" t="n">
        <v>20</v>
      </c>
      <c r="BD9" s="40" t="n">
        <v>14</v>
      </c>
      <c r="BE9" s="40" t="n">
        <v>34</v>
      </c>
      <c r="BF9" s="40" t="n">
        <v>19</v>
      </c>
      <c r="BG9" s="40" t="n">
        <v>1</v>
      </c>
      <c r="BH9" s="40" t="n">
        <v>1</v>
      </c>
      <c r="BI9" s="40" t="n">
        <v>25</v>
      </c>
      <c r="BJ9" s="40" t="n">
        <v>0</v>
      </c>
      <c r="BK9" s="40" t="n">
        <v>20.8</v>
      </c>
      <c r="BL9" s="40" t="n">
        <v>20.1</v>
      </c>
      <c r="BM9" s="40" t="n">
        <v>16.6</v>
      </c>
      <c r="BN9" s="40" t="n">
        <v>36.7</v>
      </c>
      <c r="BO9" s="40" t="n">
        <v>308</v>
      </c>
      <c r="BP9" s="40" t="n">
        <v>685</v>
      </c>
      <c r="BQ9" s="40" t="n">
        <v>1.54</v>
      </c>
      <c r="BR9" s="40" t="n">
        <v>1.08</v>
      </c>
      <c r="BS9" s="40" t="n">
        <v>2.62</v>
      </c>
      <c r="BT9" s="40" t="n">
        <v>1.46</v>
      </c>
      <c r="BU9" s="40" t="n">
        <v>2.54</v>
      </c>
      <c r="BV9" s="40" t="n">
        <v>1.6</v>
      </c>
      <c r="BW9" s="40" t="n">
        <v>1.28</v>
      </c>
      <c r="BX9" s="40" t="n">
        <v>2.88</v>
      </c>
      <c r="BY9" s="40" t="n">
        <v>1.54</v>
      </c>
      <c r="BZ9" s="40" t="n">
        <v>2.82</v>
      </c>
      <c r="CA9" s="40" t="n">
        <v>22</v>
      </c>
      <c r="CB9" s="40" t="n">
        <v>13</v>
      </c>
      <c r="CC9" s="40" t="n">
        <v>20</v>
      </c>
      <c r="CD9" s="40" t="n">
        <v>192</v>
      </c>
      <c r="CE9" s="40" t="n">
        <v>53</v>
      </c>
      <c r="CF9" s="40" t="n">
        <v>27.6</v>
      </c>
      <c r="CG9" s="40" t="n">
        <v>14.77</v>
      </c>
      <c r="CH9" s="40" t="n">
        <v>4.08</v>
      </c>
      <c r="CI9" s="40" t="n">
        <v>0.1</v>
      </c>
      <c r="CJ9" s="40" t="n">
        <v>0.36</v>
      </c>
      <c r="CK9" s="40" t="n">
        <v>17</v>
      </c>
      <c r="CL9" s="40" t="n">
        <v>5</v>
      </c>
      <c r="CM9" s="40" t="n">
        <v>1</v>
      </c>
      <c r="CN9" s="40" t="n">
        <v>1</v>
      </c>
      <c r="CO9" s="40" t="n">
        <v>20.8</v>
      </c>
      <c r="CP9" s="40" t="n">
        <v>20.1</v>
      </c>
      <c r="CQ9" s="40" t="n">
        <v>0.11</v>
      </c>
      <c r="CR9" s="40" t="n">
        <v>-0.8</v>
      </c>
      <c r="CS9" s="40" t="n">
        <v>-1.1</v>
      </c>
      <c r="CT9" s="40" t="n">
        <v>22</v>
      </c>
      <c r="CU9" s="40" t="n">
        <v>13</v>
      </c>
      <c r="CV9" s="40" t="n">
        <v>6221</v>
      </c>
      <c r="CW9" s="40" t="n">
        <v>7469</v>
      </c>
      <c r="CX9" s="40" t="n">
        <v>83.3</v>
      </c>
      <c r="CY9" s="40" t="n">
        <v>106719</v>
      </c>
      <c r="CZ9" s="40" t="n">
        <v>35964</v>
      </c>
      <c r="DA9" s="40" t="n">
        <v>2903</v>
      </c>
      <c r="DB9" s="40" t="n">
        <v>3196</v>
      </c>
      <c r="DC9" s="40" t="n">
        <v>90.8</v>
      </c>
      <c r="DD9" s="40" t="n">
        <v>2724</v>
      </c>
      <c r="DE9" s="40" t="n">
        <v>3069</v>
      </c>
      <c r="DF9" s="40" t="n">
        <v>88.8</v>
      </c>
      <c r="DG9" s="40" t="n">
        <v>479</v>
      </c>
      <c r="DH9" s="40" t="n">
        <v>900</v>
      </c>
      <c r="DI9" s="40" t="n">
        <v>53.2</v>
      </c>
      <c r="DJ9" s="40" t="n">
        <v>14</v>
      </c>
      <c r="DK9" s="40" t="n">
        <v>16.6</v>
      </c>
      <c r="DL9" s="40" t="n">
        <v>13.1</v>
      </c>
      <c r="DM9" s="40" t="n">
        <v>-2.6</v>
      </c>
      <c r="DN9" s="40" t="n">
        <v>150</v>
      </c>
      <c r="DO9" s="40" t="n">
        <v>592</v>
      </c>
      <c r="DP9" s="40" t="n">
        <v>143</v>
      </c>
      <c r="DQ9" s="40" t="n">
        <v>30</v>
      </c>
      <c r="DR9" s="40" t="n">
        <v>685</v>
      </c>
      <c r="DS9" s="40" t="n">
        <v>22</v>
      </c>
      <c r="DT9" s="40" t="n">
        <v>13</v>
      </c>
      <c r="DU9" s="40" t="n">
        <v>7469</v>
      </c>
      <c r="DV9" s="40" t="n">
        <v>6826</v>
      </c>
      <c r="DW9" s="40" t="n">
        <v>618</v>
      </c>
      <c r="DX9" s="40" t="n">
        <v>153</v>
      </c>
      <c r="DY9" s="40" t="n">
        <v>38</v>
      </c>
      <c r="DZ9" s="40" t="n">
        <v>23</v>
      </c>
      <c r="EA9" s="40" t="n">
        <v>273</v>
      </c>
      <c r="EB9" s="40" t="n">
        <v>275</v>
      </c>
      <c r="EC9" s="40" t="n">
        <v>67</v>
      </c>
      <c r="ED9" s="40" t="n">
        <v>34</v>
      </c>
      <c r="EE9" s="40" t="n">
        <v>26</v>
      </c>
      <c r="EF9" s="40" t="n">
        <v>0</v>
      </c>
      <c r="EG9" s="40" t="n">
        <v>6221</v>
      </c>
      <c r="EH9" s="40" t="n">
        <v>25</v>
      </c>
      <c r="EI9" s="40" t="n">
        <v>95</v>
      </c>
      <c r="EJ9" s="40" t="n">
        <v>22</v>
      </c>
      <c r="EK9" s="40" t="n">
        <v>13</v>
      </c>
      <c r="EL9" s="40" t="n">
        <v>171</v>
      </c>
      <c r="EM9" s="40" t="n">
        <v>112</v>
      </c>
      <c r="EN9" s="40" t="n">
        <v>81</v>
      </c>
      <c r="EO9" s="40" t="n">
        <v>62</v>
      </c>
      <c r="EP9" s="40" t="n">
        <v>28</v>
      </c>
      <c r="EQ9" s="40" t="n">
        <v>87</v>
      </c>
      <c r="ER9" s="40" t="n">
        <v>170</v>
      </c>
      <c r="ES9" s="40" t="n">
        <v>51.2</v>
      </c>
      <c r="ET9" s="40" t="n">
        <v>83</v>
      </c>
      <c r="EU9" s="40" t="n">
        <v>138</v>
      </c>
      <c r="EV9" s="40" t="n">
        <v>40</v>
      </c>
      <c r="EW9" s="40" t="n">
        <v>98</v>
      </c>
      <c r="EX9" s="40" t="n">
        <v>83</v>
      </c>
      <c r="EY9" s="40" t="n">
        <v>254</v>
      </c>
      <c r="EZ9" s="40" t="n">
        <v>385</v>
      </c>
      <c r="FA9" s="40" t="n">
        <v>11</v>
      </c>
      <c r="FB9" s="40" t="n">
        <v>22</v>
      </c>
      <c r="FC9" s="40" t="n">
        <v>61.2</v>
      </c>
      <c r="FD9" s="40" t="n">
        <v>13</v>
      </c>
      <c r="FE9" s="40" t="n">
        <v>9001</v>
      </c>
      <c r="FF9" s="40" t="n">
        <v>826</v>
      </c>
      <c r="FG9" s="40" t="n">
        <v>2582</v>
      </c>
      <c r="FH9" s="40" t="n">
        <v>4075</v>
      </c>
      <c r="FI9" s="40" t="n">
        <v>2410</v>
      </c>
      <c r="FJ9" s="40" t="n">
        <v>384</v>
      </c>
      <c r="FK9" s="40" t="n">
        <v>9000</v>
      </c>
      <c r="FL9" s="40" t="n">
        <v>235</v>
      </c>
      <c r="FM9" s="40" t="n">
        <v>96</v>
      </c>
      <c r="FN9" s="40" t="n">
        <v>40.9</v>
      </c>
      <c r="FO9" s="40" t="n">
        <v>116</v>
      </c>
      <c r="FP9" s="40" t="n">
        <v>49.4</v>
      </c>
      <c r="FQ9" s="40" t="n">
        <v>5475</v>
      </c>
      <c r="FR9" s="40" t="n">
        <v>27032</v>
      </c>
      <c r="FS9" s="40" t="n">
        <v>14945</v>
      </c>
      <c r="FT9" s="40" t="n">
        <v>308</v>
      </c>
      <c r="FU9" s="40" t="n">
        <v>204</v>
      </c>
      <c r="FV9" s="40" t="n">
        <v>84</v>
      </c>
      <c r="FW9" s="40" t="n">
        <v>211</v>
      </c>
      <c r="FX9" s="40" t="n">
        <v>107</v>
      </c>
      <c r="FY9" s="40" t="n">
        <v>6164</v>
      </c>
      <c r="FZ9" s="40" t="n">
        <v>682</v>
      </c>
      <c r="GA9" s="40" t="n">
        <v>22</v>
      </c>
      <c r="GB9" s="40" t="n">
        <v>27</v>
      </c>
      <c r="GC9" s="40" t="n">
        <v>13</v>
      </c>
      <c r="GD9" s="40" t="n">
        <v>1170</v>
      </c>
      <c r="GE9" s="40" t="n">
        <v>90</v>
      </c>
      <c r="GF9" s="40" t="n">
        <v>100</v>
      </c>
      <c r="GG9" s="40" t="n">
        <v>13</v>
      </c>
      <c r="GH9" s="40" t="n">
        <v>143</v>
      </c>
      <c r="GI9" s="40" t="n">
        <v>82</v>
      </c>
      <c r="GJ9" s="40" t="n">
        <v>88</v>
      </c>
      <c r="GK9" s="40" t="n">
        <v>55</v>
      </c>
      <c r="GL9" s="40" t="n">
        <v>21</v>
      </c>
      <c r="GM9" s="40" t="n">
        <v>62</v>
      </c>
      <c r="GN9" s="40" t="n">
        <v>1.62</v>
      </c>
      <c r="GO9" s="40" t="n">
        <v>20</v>
      </c>
      <c r="GP9" s="40" t="n">
        <v>20</v>
      </c>
      <c r="GQ9" s="40" t="n">
        <v>0</v>
      </c>
      <c r="GR9" s="40" t="n">
        <v>0</v>
      </c>
      <c r="GS9" s="40" t="n">
        <v>20.8</v>
      </c>
      <c r="GT9" s="40" t="n">
        <v>15.8</v>
      </c>
      <c r="GU9" s="40" t="n">
        <v>5</v>
      </c>
      <c r="GV9" s="40" t="n">
        <v>0.39</v>
      </c>
      <c r="GW9" s="40" t="n">
        <v>22</v>
      </c>
      <c r="GX9" s="40" t="n">
        <v>13</v>
      </c>
      <c r="GY9" s="40" t="n">
        <v>25</v>
      </c>
      <c r="GZ9" s="40" t="n">
        <v>0</v>
      </c>
      <c r="HA9" s="40" t="n">
        <v>0</v>
      </c>
      <c r="HB9" s="40" t="n">
        <v>136</v>
      </c>
      <c r="HC9" s="40" t="n">
        <v>136</v>
      </c>
      <c r="HD9" s="40" t="n">
        <v>25</v>
      </c>
      <c r="HE9" s="40" t="n">
        <v>273</v>
      </c>
      <c r="HF9" s="40" t="n">
        <v>83</v>
      </c>
      <c r="HG9" s="40" t="n">
        <v>112</v>
      </c>
      <c r="HH9" s="40" t="n">
        <v>0</v>
      </c>
      <c r="HI9" s="40" t="n">
        <v>2</v>
      </c>
      <c r="HJ9" s="40" t="n">
        <v>0</v>
      </c>
      <c r="HK9" s="40" t="n">
        <v>476</v>
      </c>
      <c r="HL9" s="40" t="n">
        <v>224</v>
      </c>
      <c r="HM9" s="40" t="n">
        <v>171</v>
      </c>
      <c r="HN9" s="40" t="n">
        <v>56.7</v>
      </c>
      <c r="HO9" s="40" t="n">
        <v>2</v>
      </c>
      <c r="HP9" s="40" t="n">
        <v>13</v>
      </c>
      <c r="HQ9" s="40" t="n">
        <v>13</v>
      </c>
      <c r="HR9" s="40" t="n">
        <v>1170</v>
      </c>
      <c r="HS9" s="40" t="n">
        <v>13</v>
      </c>
      <c r="HT9" s="40" t="n">
        <v>20</v>
      </c>
      <c r="HU9" s="40" t="n">
        <v>1.54</v>
      </c>
      <c r="HV9" s="40" t="n">
        <v>50</v>
      </c>
      <c r="HW9" s="40" t="n">
        <v>29</v>
      </c>
      <c r="HX9" s="40" t="n">
        <v>62</v>
      </c>
      <c r="HY9" s="40" t="n">
        <v>7</v>
      </c>
      <c r="HZ9" s="40" t="n">
        <v>0</v>
      </c>
      <c r="IA9" s="40" t="n">
        <v>6</v>
      </c>
      <c r="IB9" s="40" t="n">
        <v>4</v>
      </c>
      <c r="IC9" s="40" t="n">
        <v>30.8</v>
      </c>
      <c r="ID9" s="40" t="n">
        <v>2</v>
      </c>
      <c r="IE9" s="40" t="n">
        <v>1</v>
      </c>
      <c r="IF9" s="40" t="n">
        <v>1</v>
      </c>
      <c r="IG9" s="40" t="n">
        <v>0</v>
      </c>
      <c r="IH9" s="40" t="n">
        <v>50</v>
      </c>
      <c r="II9" s="40" t="n">
        <v>2</v>
      </c>
      <c r="IJ9" s="40" t="n">
        <v>13</v>
      </c>
      <c r="IK9" s="40" t="n">
        <v>20</v>
      </c>
      <c r="IL9" s="40" t="n">
        <v>1</v>
      </c>
      <c r="IM9" s="40" t="n">
        <v>0</v>
      </c>
      <c r="IN9" s="40" t="n">
        <v>4</v>
      </c>
      <c r="IO9" s="40" t="n">
        <v>0</v>
      </c>
      <c r="IP9" s="40" t="n">
        <v>16.6</v>
      </c>
      <c r="IQ9" s="40" t="n">
        <v>0.31</v>
      </c>
      <c r="IR9" s="40" t="n">
        <v>-3.4</v>
      </c>
      <c r="IS9" s="40" t="n">
        <v>-0.26</v>
      </c>
      <c r="IT9" s="40" t="n">
        <v>45</v>
      </c>
      <c r="IU9" s="40" t="n">
        <v>125</v>
      </c>
      <c r="IV9" s="40" t="n">
        <v>36</v>
      </c>
      <c r="IW9" s="40" t="n">
        <v>420</v>
      </c>
      <c r="IX9" s="40" t="n">
        <v>69</v>
      </c>
      <c r="IY9" s="40" t="n">
        <v>25</v>
      </c>
      <c r="IZ9" s="40" t="n">
        <v>28.4</v>
      </c>
      <c r="JA9" s="40" t="n">
        <v>90</v>
      </c>
      <c r="JB9" s="40" t="n">
        <v>22.2</v>
      </c>
      <c r="JC9" s="40" t="n">
        <v>24.6</v>
      </c>
      <c r="JD9" s="40" t="n">
        <v>166</v>
      </c>
      <c r="JE9" s="40" t="n">
        <v>8</v>
      </c>
      <c r="JF9" s="40" t="n">
        <v>4.8</v>
      </c>
      <c r="JG9" s="40" t="n">
        <v>20</v>
      </c>
      <c r="JH9" s="40" t="n">
        <v>1.54</v>
      </c>
      <c r="JI9" s="40" t="n">
        <v>14.5</v>
      </c>
      <c r="JJ9" s="40" t="n">
        <v>13</v>
      </c>
      <c r="JK9" s="40" t="n">
        <v>20.8</v>
      </c>
      <c r="JL9" s="40" t="n">
        <v>61.2</v>
      </c>
      <c r="JM9" s="40" t="n">
        <v>192</v>
      </c>
      <c r="JN9" s="40" t="n">
        <v>53</v>
      </c>
      <c r="JO9" s="40" t="n">
        <v>27.6</v>
      </c>
      <c r="JP9" s="40" t="n">
        <v>20.1</v>
      </c>
      <c r="JQ9" s="40" t="n">
        <v>6221</v>
      </c>
      <c r="JR9" s="40" t="n">
        <v>7469</v>
      </c>
      <c r="JS9" s="40" t="n">
        <v>83.3</v>
      </c>
      <c r="JT9" s="40" t="n">
        <v>171</v>
      </c>
      <c r="JU9" s="40" t="n">
        <v>112</v>
      </c>
      <c r="JV9" s="40" t="n">
        <v>83</v>
      </c>
      <c r="JW9" s="40" t="n">
        <v>385</v>
      </c>
      <c r="JX9" s="40" t="n">
        <v>136</v>
      </c>
      <c r="JY9" s="40" t="n">
        <v>136</v>
      </c>
      <c r="JZ9" s="40" t="n">
        <v>25</v>
      </c>
      <c r="KA9" s="40" t="n">
        <v>0</v>
      </c>
      <c r="KB9" s="40" t="n">
        <v>30.7692307692</v>
      </c>
      <c r="KC9" s="40" t="n">
        <v>27.6041666667</v>
      </c>
      <c r="KD9" s="40" t="n">
        <v>83.3</v>
      </c>
      <c r="KE9" s="40" t="n">
        <v>65.4970760234</v>
      </c>
    </row>
    <row r="10">
      <c r="A10" s="40" t="inlineStr">
        <is>
          <t>Crystal Palace</t>
        </is>
      </c>
      <c r="B10" s="40" t="n">
        <v>9</v>
      </c>
      <c r="C10" s="40" t="n">
        <v>13</v>
      </c>
      <c r="D10" s="40" t="n">
        <v>5</v>
      </c>
      <c r="E10" s="40" t="n">
        <v>5</v>
      </c>
      <c r="F10" s="40" t="n">
        <v>3</v>
      </c>
      <c r="G10" s="40" t="n">
        <v>17</v>
      </c>
      <c r="H10" s="40" t="n">
        <v>11</v>
      </c>
      <c r="I10" s="40" t="n">
        <v>6</v>
      </c>
      <c r="J10" s="40" t="n">
        <v>20</v>
      </c>
      <c r="K10" s="40" t="n">
        <v>1.54</v>
      </c>
      <c r="L10" s="40" t="n">
        <v>22.1</v>
      </c>
      <c r="M10" s="40" t="n">
        <v>15.6</v>
      </c>
      <c r="N10" s="40" t="n">
        <v>6.5</v>
      </c>
      <c r="O10" s="40" t="n">
        <v>0.5</v>
      </c>
      <c r="P10" s="40" t="inlineStr">
        <is>
          <t>L W D W L</t>
        </is>
      </c>
      <c r="Q10" s="40" t="n">
        <v>24947</v>
      </c>
      <c r="R10" s="40" t="inlineStr">
        <is>
          <t>Jean-Philippe Mateta - 7</t>
        </is>
      </c>
      <c r="S10" s="40" t="inlineStr">
        <is>
          <t>Dean Henderson</t>
        </is>
      </c>
      <c r="T10" s="40" t="n">
        <v/>
      </c>
      <c r="U10" s="40" t="n">
        <v>9</v>
      </c>
      <c r="V10" s="40" t="n">
        <v>7</v>
      </c>
      <c r="W10" s="40" t="n">
        <v>2</v>
      </c>
      <c r="X10" s="40" t="n">
        <v>4</v>
      </c>
      <c r="Y10" s="40" t="n">
        <v>1</v>
      </c>
      <c r="Z10" s="40" t="n">
        <v>9</v>
      </c>
      <c r="AA10" s="40" t="n">
        <v>7</v>
      </c>
      <c r="AB10" s="40" t="n">
        <v>2</v>
      </c>
      <c r="AC10" s="40" t="n">
        <v>10</v>
      </c>
      <c r="AD10" s="40" t="n">
        <v>1.43</v>
      </c>
      <c r="AE10" s="40" t="n">
        <v>13.4</v>
      </c>
      <c r="AF10" s="40" t="n">
        <v>7.6</v>
      </c>
      <c r="AG10" s="40" t="n">
        <v>5.8</v>
      </c>
      <c r="AH10" s="40" t="n">
        <v>0.83</v>
      </c>
      <c r="AI10" s="40" t="n">
        <v>6</v>
      </c>
      <c r="AJ10" s="40" t="n">
        <v>3</v>
      </c>
      <c r="AK10" s="40" t="n">
        <v>1</v>
      </c>
      <c r="AL10" s="40" t="n">
        <v>2</v>
      </c>
      <c r="AM10" s="40" t="n">
        <v>8</v>
      </c>
      <c r="AN10" s="40" t="n">
        <v>4</v>
      </c>
      <c r="AO10" s="40" t="n">
        <v>4</v>
      </c>
      <c r="AP10" s="40" t="n">
        <v>10</v>
      </c>
      <c r="AQ10" s="40" t="n">
        <v>1.67</v>
      </c>
      <c r="AR10" s="40" t="n">
        <v>8.699999999999999</v>
      </c>
      <c r="AS10" s="40" t="n">
        <v>8</v>
      </c>
      <c r="AT10" s="40" t="n">
        <v>0.7</v>
      </c>
      <c r="AU10" s="40" t="n">
        <v>0.11</v>
      </c>
      <c r="AV10" s="40" t="n">
        <v>22</v>
      </c>
      <c r="AW10" s="40" t="n">
        <v>26.8</v>
      </c>
      <c r="AX10" s="40" t="n">
        <v>42.9</v>
      </c>
      <c r="AY10" s="40" t="n">
        <v>13</v>
      </c>
      <c r="AZ10" s="40" t="n">
        <v>143</v>
      </c>
      <c r="BA10" s="40" t="n">
        <v>1170</v>
      </c>
      <c r="BB10" s="40" t="n">
        <v>13</v>
      </c>
      <c r="BC10" s="40" t="n">
        <v>16</v>
      </c>
      <c r="BD10" s="40" t="n">
        <v>8</v>
      </c>
      <c r="BE10" s="40" t="n">
        <v>24</v>
      </c>
      <c r="BF10" s="40" t="n">
        <v>13</v>
      </c>
      <c r="BG10" s="40" t="n">
        <v>3</v>
      </c>
      <c r="BH10" s="40" t="n">
        <v>3</v>
      </c>
      <c r="BI10" s="40" t="n">
        <v>25</v>
      </c>
      <c r="BJ10" s="40" t="n">
        <v>0</v>
      </c>
      <c r="BK10" s="40" t="n">
        <v>22.1</v>
      </c>
      <c r="BL10" s="40" t="n">
        <v>19.8</v>
      </c>
      <c r="BM10" s="40" t="n">
        <v>13.9</v>
      </c>
      <c r="BN10" s="40" t="n">
        <v>33.6</v>
      </c>
      <c r="BO10" s="40" t="n">
        <v>160</v>
      </c>
      <c r="BP10" s="40" t="n">
        <v>398</v>
      </c>
      <c r="BQ10" s="40" t="n">
        <v>1.23</v>
      </c>
      <c r="BR10" s="40" t="n">
        <v>0.62</v>
      </c>
      <c r="BS10" s="40" t="n">
        <v>1.85</v>
      </c>
      <c r="BT10" s="40" t="n">
        <v>1</v>
      </c>
      <c r="BU10" s="40" t="n">
        <v>1.62</v>
      </c>
      <c r="BV10" s="40" t="n">
        <v>1.7</v>
      </c>
      <c r="BW10" s="40" t="n">
        <v>1.07</v>
      </c>
      <c r="BX10" s="40" t="n">
        <v>2.76</v>
      </c>
      <c r="BY10" s="40" t="n">
        <v>1.52</v>
      </c>
      <c r="BZ10" s="40" t="n">
        <v>2.59</v>
      </c>
      <c r="CA10" s="40" t="n">
        <v>22</v>
      </c>
      <c r="CB10" s="40" t="n">
        <v>13</v>
      </c>
      <c r="CC10" s="40" t="n">
        <v>16</v>
      </c>
      <c r="CD10" s="40" t="n">
        <v>156</v>
      </c>
      <c r="CE10" s="40" t="n">
        <v>51</v>
      </c>
      <c r="CF10" s="40" t="n">
        <v>32.7</v>
      </c>
      <c r="CG10" s="40" t="n">
        <v>12</v>
      </c>
      <c r="CH10" s="40" t="n">
        <v>3.92</v>
      </c>
      <c r="CI10" s="40" t="n">
        <v>0.08</v>
      </c>
      <c r="CJ10" s="40" t="n">
        <v>0.25</v>
      </c>
      <c r="CK10" s="40" t="n">
        <v>16.5</v>
      </c>
      <c r="CL10" s="40" t="n">
        <v>2</v>
      </c>
      <c r="CM10" s="40" t="n">
        <v>3</v>
      </c>
      <c r="CN10" s="40" t="n">
        <v>3</v>
      </c>
      <c r="CO10" s="40" t="n">
        <v>22.1</v>
      </c>
      <c r="CP10" s="40" t="n">
        <v>19.8</v>
      </c>
      <c r="CQ10" s="40" t="n">
        <v>0.13</v>
      </c>
      <c r="CR10" s="40" t="n">
        <v>-6.1</v>
      </c>
      <c r="CS10" s="40" t="n">
        <v>-6.8</v>
      </c>
      <c r="CT10" s="40" t="n">
        <v>22</v>
      </c>
      <c r="CU10" s="40" t="n">
        <v>13</v>
      </c>
      <c r="CV10" s="40" t="n">
        <v>3901</v>
      </c>
      <c r="CW10" s="40" t="n">
        <v>5203</v>
      </c>
      <c r="CX10" s="40" t="n">
        <v>75</v>
      </c>
      <c r="CY10" s="40" t="n">
        <v>71477</v>
      </c>
      <c r="CZ10" s="40" t="n">
        <v>27569</v>
      </c>
      <c r="DA10" s="40" t="n">
        <v>1652</v>
      </c>
      <c r="DB10" s="40" t="n">
        <v>1911</v>
      </c>
      <c r="DC10" s="40" t="n">
        <v>86.40000000000001</v>
      </c>
      <c r="DD10" s="40" t="n">
        <v>1764</v>
      </c>
      <c r="DE10" s="40" t="n">
        <v>2075</v>
      </c>
      <c r="DF10" s="40" t="n">
        <v>85</v>
      </c>
      <c r="DG10" s="40" t="n">
        <v>414</v>
      </c>
      <c r="DH10" s="40" t="n">
        <v>942</v>
      </c>
      <c r="DI10" s="40" t="n">
        <v>43.9</v>
      </c>
      <c r="DJ10" s="40" t="n">
        <v>8</v>
      </c>
      <c r="DK10" s="40" t="n">
        <v>13.9</v>
      </c>
      <c r="DL10" s="40" t="n">
        <v>12</v>
      </c>
      <c r="DM10" s="40" t="n">
        <v>-5.9</v>
      </c>
      <c r="DN10" s="40" t="n">
        <v>102</v>
      </c>
      <c r="DO10" s="40" t="n">
        <v>292</v>
      </c>
      <c r="DP10" s="40" t="n">
        <v>85</v>
      </c>
      <c r="DQ10" s="40" t="n">
        <v>21</v>
      </c>
      <c r="DR10" s="40" t="n">
        <v>398</v>
      </c>
      <c r="DS10" s="40" t="n">
        <v>22</v>
      </c>
      <c r="DT10" s="40" t="n">
        <v>13</v>
      </c>
      <c r="DU10" s="40" t="n">
        <v>5203</v>
      </c>
      <c r="DV10" s="40" t="n">
        <v>4610</v>
      </c>
      <c r="DW10" s="40" t="n">
        <v>571</v>
      </c>
      <c r="DX10" s="40" t="n">
        <v>155</v>
      </c>
      <c r="DY10" s="40" t="n">
        <v>31</v>
      </c>
      <c r="DZ10" s="40" t="n">
        <v>23</v>
      </c>
      <c r="EA10" s="40" t="n">
        <v>197</v>
      </c>
      <c r="EB10" s="40" t="n">
        <v>230</v>
      </c>
      <c r="EC10" s="40" t="n">
        <v>50</v>
      </c>
      <c r="ED10" s="40" t="n">
        <v>40</v>
      </c>
      <c r="EE10" s="40" t="n">
        <v>6</v>
      </c>
      <c r="EF10" s="40" t="n">
        <v>0</v>
      </c>
      <c r="EG10" s="40" t="n">
        <v>3901</v>
      </c>
      <c r="EH10" s="40" t="n">
        <v>22</v>
      </c>
      <c r="EI10" s="40" t="n">
        <v>102</v>
      </c>
      <c r="EJ10" s="40" t="n">
        <v>22</v>
      </c>
      <c r="EK10" s="40" t="n">
        <v>13</v>
      </c>
      <c r="EL10" s="40" t="n">
        <v>255</v>
      </c>
      <c r="EM10" s="40" t="n">
        <v>157</v>
      </c>
      <c r="EN10" s="40" t="n">
        <v>133</v>
      </c>
      <c r="EO10" s="40" t="n">
        <v>96</v>
      </c>
      <c r="EP10" s="40" t="n">
        <v>26</v>
      </c>
      <c r="EQ10" s="40" t="n">
        <v>115</v>
      </c>
      <c r="ER10" s="40" t="n">
        <v>210</v>
      </c>
      <c r="ES10" s="40" t="n">
        <v>54.8</v>
      </c>
      <c r="ET10" s="40" t="n">
        <v>95</v>
      </c>
      <c r="EU10" s="40" t="n">
        <v>131</v>
      </c>
      <c r="EV10" s="40" t="n">
        <v>31</v>
      </c>
      <c r="EW10" s="40" t="n">
        <v>100</v>
      </c>
      <c r="EX10" s="40" t="n">
        <v>124</v>
      </c>
      <c r="EY10" s="40" t="n">
        <v>379</v>
      </c>
      <c r="EZ10" s="40" t="n">
        <v>451</v>
      </c>
      <c r="FA10" s="40" t="n">
        <v>9</v>
      </c>
      <c r="FB10" s="40" t="n">
        <v>22</v>
      </c>
      <c r="FC10" s="40" t="n">
        <v>42.9</v>
      </c>
      <c r="FD10" s="40" t="n">
        <v>13</v>
      </c>
      <c r="FE10" s="40" t="n">
        <v>6792</v>
      </c>
      <c r="FF10" s="40" t="n">
        <v>892</v>
      </c>
      <c r="FG10" s="40" t="n">
        <v>2585</v>
      </c>
      <c r="FH10" s="40" t="n">
        <v>2834</v>
      </c>
      <c r="FI10" s="40" t="n">
        <v>1446</v>
      </c>
      <c r="FJ10" s="40" t="n">
        <v>301</v>
      </c>
      <c r="FK10" s="40" t="n">
        <v>6789</v>
      </c>
      <c r="FL10" s="40" t="n">
        <v>149</v>
      </c>
      <c r="FM10" s="40" t="n">
        <v>53</v>
      </c>
      <c r="FN10" s="40" t="n">
        <v>35.6</v>
      </c>
      <c r="FO10" s="40" t="n">
        <v>71</v>
      </c>
      <c r="FP10" s="40" t="n">
        <v>47.7</v>
      </c>
      <c r="FQ10" s="40" t="n">
        <v>3382</v>
      </c>
      <c r="FR10" s="40" t="n">
        <v>16175</v>
      </c>
      <c r="FS10" s="40" t="n">
        <v>8598</v>
      </c>
      <c r="FT10" s="40" t="n">
        <v>160</v>
      </c>
      <c r="FU10" s="40" t="n">
        <v>119</v>
      </c>
      <c r="FV10" s="40" t="n">
        <v>39</v>
      </c>
      <c r="FW10" s="40" t="n">
        <v>183</v>
      </c>
      <c r="FX10" s="40" t="n">
        <v>112</v>
      </c>
      <c r="FY10" s="40" t="n">
        <v>3878</v>
      </c>
      <c r="FZ10" s="40" t="n">
        <v>394</v>
      </c>
      <c r="GA10" s="40" t="n">
        <v>22</v>
      </c>
      <c r="GB10" s="40" t="n">
        <v>26.8</v>
      </c>
      <c r="GC10" s="40" t="n">
        <v>13</v>
      </c>
      <c r="GD10" s="40" t="n">
        <v>1170</v>
      </c>
      <c r="GE10" s="40" t="n">
        <v>90</v>
      </c>
      <c r="GF10" s="40" t="n">
        <v>100</v>
      </c>
      <c r="GG10" s="40" t="n">
        <v>13</v>
      </c>
      <c r="GH10" s="40" t="n">
        <v>143</v>
      </c>
      <c r="GI10" s="40" t="n">
        <v>86</v>
      </c>
      <c r="GJ10" s="40" t="n">
        <v>100</v>
      </c>
      <c r="GK10" s="40" t="n">
        <v>43</v>
      </c>
      <c r="GL10" s="40" t="n">
        <v>15</v>
      </c>
      <c r="GM10" s="40" t="n">
        <v>74</v>
      </c>
      <c r="GN10" s="40" t="n">
        <v>1.54</v>
      </c>
      <c r="GO10" s="40" t="n">
        <v>17</v>
      </c>
      <c r="GP10" s="40" t="n">
        <v>11</v>
      </c>
      <c r="GQ10" s="40" t="n">
        <v>6</v>
      </c>
      <c r="GR10" s="40" t="n">
        <v>0.46</v>
      </c>
      <c r="GS10" s="40" t="n">
        <v>22.1</v>
      </c>
      <c r="GT10" s="40" t="n">
        <v>15.6</v>
      </c>
      <c r="GU10" s="40" t="n">
        <v>6.5</v>
      </c>
      <c r="GV10" s="40" t="n">
        <v>0.5</v>
      </c>
      <c r="GW10" s="40" t="n">
        <v>22</v>
      </c>
      <c r="GX10" s="40" t="n">
        <v>13</v>
      </c>
      <c r="GY10" s="40" t="n">
        <v>25</v>
      </c>
      <c r="GZ10" s="40" t="n">
        <v>0</v>
      </c>
      <c r="HA10" s="40" t="n">
        <v>0</v>
      </c>
      <c r="HB10" s="40" t="n">
        <v>137</v>
      </c>
      <c r="HC10" s="40" t="n">
        <v>139</v>
      </c>
      <c r="HD10" s="40" t="n">
        <v>22</v>
      </c>
      <c r="HE10" s="40" t="n">
        <v>197</v>
      </c>
      <c r="HF10" s="40" t="n">
        <v>124</v>
      </c>
      <c r="HG10" s="40" t="n">
        <v>157</v>
      </c>
      <c r="HH10" s="40" t="n">
        <v>3</v>
      </c>
      <c r="HI10" s="40" t="n">
        <v>1</v>
      </c>
      <c r="HJ10" s="40" t="n">
        <v>0</v>
      </c>
      <c r="HK10" s="40" t="n">
        <v>491</v>
      </c>
      <c r="HL10" s="40" t="n">
        <v>241</v>
      </c>
      <c r="HM10" s="40" t="n">
        <v>251</v>
      </c>
      <c r="HN10" s="40" t="n">
        <v>49</v>
      </c>
      <c r="HO10" s="40" t="n">
        <v>1</v>
      </c>
      <c r="HP10" s="40" t="n">
        <v>13</v>
      </c>
      <c r="HQ10" s="40" t="n">
        <v>13</v>
      </c>
      <c r="HR10" s="40" t="n">
        <v>1170</v>
      </c>
      <c r="HS10" s="40" t="n">
        <v>13</v>
      </c>
      <c r="HT10" s="40" t="n">
        <v>11</v>
      </c>
      <c r="HU10" s="40" t="n">
        <v>0.85</v>
      </c>
      <c r="HV10" s="40" t="n">
        <v>41</v>
      </c>
      <c r="HW10" s="40" t="n">
        <v>30</v>
      </c>
      <c r="HX10" s="40" t="n">
        <v>75.59999999999999</v>
      </c>
      <c r="HY10" s="40" t="n">
        <v>5</v>
      </c>
      <c r="HZ10" s="40" t="n">
        <v>5</v>
      </c>
      <c r="IA10" s="40" t="n">
        <v>3</v>
      </c>
      <c r="IB10" s="40" t="n">
        <v>6</v>
      </c>
      <c r="IC10" s="40" t="n">
        <v>46.2</v>
      </c>
      <c r="ID10" s="40" t="n">
        <v>1</v>
      </c>
      <c r="IE10" s="40" t="n">
        <v>1</v>
      </c>
      <c r="IF10" s="40" t="n">
        <v>0</v>
      </c>
      <c r="IG10" s="40" t="n">
        <v>0</v>
      </c>
      <c r="IH10" s="40" t="n">
        <v>0</v>
      </c>
      <c r="II10" s="40" t="n">
        <v>1</v>
      </c>
      <c r="IJ10" s="40" t="n">
        <v>13</v>
      </c>
      <c r="IK10" s="40" t="n">
        <v>11</v>
      </c>
      <c r="IL10" s="40" t="n">
        <v>1</v>
      </c>
      <c r="IM10" s="40" t="n">
        <v>0</v>
      </c>
      <c r="IN10" s="40" t="n">
        <v>2</v>
      </c>
      <c r="IO10" s="40" t="n">
        <v>0</v>
      </c>
      <c r="IP10" s="40" t="n">
        <v>14.1</v>
      </c>
      <c r="IQ10" s="40" t="n">
        <v>0.33</v>
      </c>
      <c r="IR10" s="40" t="n">
        <v>3.1</v>
      </c>
      <c r="IS10" s="40" t="n">
        <v>0.24</v>
      </c>
      <c r="IT10" s="40" t="n">
        <v>60</v>
      </c>
      <c r="IU10" s="40" t="n">
        <v>240</v>
      </c>
      <c r="IV10" s="40" t="n">
        <v>25</v>
      </c>
      <c r="IW10" s="40" t="n">
        <v>351</v>
      </c>
      <c r="IX10" s="40" t="n">
        <v>46</v>
      </c>
      <c r="IY10" s="40" t="n">
        <v>51.3</v>
      </c>
      <c r="IZ10" s="40" t="n">
        <v>40</v>
      </c>
      <c r="JA10" s="40" t="n">
        <v>112</v>
      </c>
      <c r="JB10" s="40" t="n">
        <v>53.6</v>
      </c>
      <c r="JC10" s="40" t="n">
        <v>44.4</v>
      </c>
      <c r="JD10" s="40" t="n">
        <v>205</v>
      </c>
      <c r="JE10" s="40" t="n">
        <v>10</v>
      </c>
      <c r="JF10" s="40" t="n">
        <v>4.9</v>
      </c>
      <c r="JG10" s="40" t="n">
        <v>4</v>
      </c>
      <c r="JH10" s="40" t="n">
        <v>0.31</v>
      </c>
      <c r="JI10" s="40" t="n">
        <v>9.800000000000001</v>
      </c>
      <c r="JJ10" s="40" t="n">
        <v>13</v>
      </c>
      <c r="JK10" s="40" t="n">
        <v>22.1</v>
      </c>
      <c r="JL10" s="40" t="n">
        <v>42.9</v>
      </c>
      <c r="JM10" s="40" t="n">
        <v>156</v>
      </c>
      <c r="JN10" s="40" t="n">
        <v>51</v>
      </c>
      <c r="JO10" s="40" t="n">
        <v>32.7</v>
      </c>
      <c r="JP10" s="40" t="n">
        <v>19.8</v>
      </c>
      <c r="JQ10" s="40" t="n">
        <v>3901</v>
      </c>
      <c r="JR10" s="40" t="n">
        <v>5203</v>
      </c>
      <c r="JS10" s="40" t="n">
        <v>75</v>
      </c>
      <c r="JT10" s="40" t="n">
        <v>255</v>
      </c>
      <c r="JU10" s="40" t="n">
        <v>157</v>
      </c>
      <c r="JV10" s="40" t="n">
        <v>124</v>
      </c>
      <c r="JW10" s="40" t="n">
        <v>451</v>
      </c>
      <c r="JX10" s="40" t="n">
        <v>137</v>
      </c>
      <c r="JY10" s="40" t="n">
        <v>139</v>
      </c>
      <c r="JZ10" s="40" t="n">
        <v>25</v>
      </c>
      <c r="KA10" s="40" t="n">
        <v>0</v>
      </c>
      <c r="KB10" s="40" t="n">
        <v>46.1538461538</v>
      </c>
      <c r="KC10" s="40" t="n">
        <v>32.6923076923</v>
      </c>
      <c r="KD10" s="40" t="n">
        <v>75</v>
      </c>
      <c r="KE10" s="40" t="n">
        <v>61.568627451</v>
      </c>
    </row>
    <row r="11">
      <c r="A11" s="40" t="inlineStr">
        <is>
          <t>Brentford</t>
        </is>
      </c>
      <c r="B11" s="40" t="n">
        <v>10</v>
      </c>
      <c r="C11" s="40" t="n">
        <v>13</v>
      </c>
      <c r="D11" s="40" t="n">
        <v>6</v>
      </c>
      <c r="E11" s="40" t="n">
        <v>1</v>
      </c>
      <c r="F11" s="40" t="n">
        <v>6</v>
      </c>
      <c r="G11" s="40" t="n">
        <v>21</v>
      </c>
      <c r="H11" s="40" t="n">
        <v>20</v>
      </c>
      <c r="I11" s="40" t="n">
        <v>1</v>
      </c>
      <c r="J11" s="40" t="n">
        <v>19</v>
      </c>
      <c r="K11" s="40" t="n">
        <v>1.46</v>
      </c>
      <c r="L11" s="40" t="n">
        <v>21.2</v>
      </c>
      <c r="M11" s="40" t="n">
        <v>15.5</v>
      </c>
      <c r="N11" s="40" t="n">
        <v>5.8</v>
      </c>
      <c r="O11" s="40" t="n">
        <v>0.44</v>
      </c>
      <c r="P11" s="40" t="inlineStr">
        <is>
          <t>W L W L W</t>
        </is>
      </c>
      <c r="Q11" s="40" t="n">
        <v>17064</v>
      </c>
      <c r="R11" s="40" t="inlineStr">
        <is>
          <t>Thiago - 11</t>
        </is>
      </c>
      <c r="S11" s="40" t="inlineStr">
        <is>
          <t>Caoimhín Kelleher</t>
        </is>
      </c>
      <c r="T11" s="40" t="n">
        <v/>
      </c>
      <c r="U11" s="40" t="n">
        <v>10</v>
      </c>
      <c r="V11" s="40" t="n">
        <v>7</v>
      </c>
      <c r="W11" s="40" t="n">
        <v>5</v>
      </c>
      <c r="X11" s="40" t="n">
        <v>1</v>
      </c>
      <c r="Y11" s="40" t="n">
        <v>1</v>
      </c>
      <c r="Z11" s="40" t="n">
        <v>15</v>
      </c>
      <c r="AA11" s="40" t="n">
        <v>8</v>
      </c>
      <c r="AB11" s="40" t="n">
        <v>7</v>
      </c>
      <c r="AC11" s="40" t="n">
        <v>16</v>
      </c>
      <c r="AD11" s="40" t="n">
        <v>2.29</v>
      </c>
      <c r="AE11" s="40" t="n">
        <v>13.2</v>
      </c>
      <c r="AF11" s="40" t="n">
        <v>8.9</v>
      </c>
      <c r="AG11" s="40" t="n">
        <v>4.4</v>
      </c>
      <c r="AH11" s="40" t="n">
        <v>0.62</v>
      </c>
      <c r="AI11" s="40" t="n">
        <v>6</v>
      </c>
      <c r="AJ11" s="40" t="n">
        <v>1</v>
      </c>
      <c r="AK11" s="40" t="n">
        <v>0</v>
      </c>
      <c r="AL11" s="40" t="n">
        <v>5</v>
      </c>
      <c r="AM11" s="40" t="n">
        <v>6</v>
      </c>
      <c r="AN11" s="40" t="n">
        <v>12</v>
      </c>
      <c r="AO11" s="40" t="n">
        <v>-6</v>
      </c>
      <c r="AP11" s="40" t="n">
        <v>3</v>
      </c>
      <c r="AQ11" s="40" t="n">
        <v>0.5</v>
      </c>
      <c r="AR11" s="40" t="n">
        <v>8</v>
      </c>
      <c r="AS11" s="40" t="n">
        <v>6.6</v>
      </c>
      <c r="AT11" s="40" t="n">
        <v>1.4</v>
      </c>
      <c r="AU11" s="40" t="n">
        <v>0.24</v>
      </c>
      <c r="AV11" s="40" t="n">
        <v>21</v>
      </c>
      <c r="AW11" s="40" t="n">
        <v>25.5</v>
      </c>
      <c r="AX11" s="40" t="n">
        <v>43.5</v>
      </c>
      <c r="AY11" s="40" t="n">
        <v>13</v>
      </c>
      <c r="AZ11" s="40" t="n">
        <v>143</v>
      </c>
      <c r="BA11" s="40" t="n">
        <v>1170</v>
      </c>
      <c r="BB11" s="40" t="n">
        <v>13</v>
      </c>
      <c r="BC11" s="40" t="n">
        <v>21</v>
      </c>
      <c r="BD11" s="40" t="n">
        <v>9</v>
      </c>
      <c r="BE11" s="40" t="n">
        <v>30</v>
      </c>
      <c r="BF11" s="40" t="n">
        <v>16</v>
      </c>
      <c r="BG11" s="40" t="n">
        <v>5</v>
      </c>
      <c r="BH11" s="40" t="n">
        <v>7</v>
      </c>
      <c r="BI11" s="40" t="n">
        <v>25</v>
      </c>
      <c r="BJ11" s="40" t="n">
        <v>0</v>
      </c>
      <c r="BK11" s="40" t="n">
        <v>21.2</v>
      </c>
      <c r="BL11" s="40" t="n">
        <v>15.8</v>
      </c>
      <c r="BM11" s="40" t="n">
        <v>12</v>
      </c>
      <c r="BN11" s="40" t="n">
        <v>27.8</v>
      </c>
      <c r="BO11" s="40" t="n">
        <v>162</v>
      </c>
      <c r="BP11" s="40" t="n">
        <v>338</v>
      </c>
      <c r="BQ11" s="40" t="n">
        <v>1.62</v>
      </c>
      <c r="BR11" s="40" t="n">
        <v>0.6899999999999999</v>
      </c>
      <c r="BS11" s="40" t="n">
        <v>2.31</v>
      </c>
      <c r="BT11" s="40" t="n">
        <v>1.23</v>
      </c>
      <c r="BU11" s="40" t="n">
        <v>1.92</v>
      </c>
      <c r="BV11" s="40" t="n">
        <v>1.63</v>
      </c>
      <c r="BW11" s="40" t="n">
        <v>0.92</v>
      </c>
      <c r="BX11" s="40" t="n">
        <v>2.56</v>
      </c>
      <c r="BY11" s="40" t="n">
        <v>1.21</v>
      </c>
      <c r="BZ11" s="40" t="n">
        <v>2.14</v>
      </c>
      <c r="CA11" s="40" t="n">
        <v>21</v>
      </c>
      <c r="CB11" s="40" t="n">
        <v>13</v>
      </c>
      <c r="CC11" s="40" t="n">
        <v>21</v>
      </c>
      <c r="CD11" s="40" t="n">
        <v>134</v>
      </c>
      <c r="CE11" s="40" t="n">
        <v>49</v>
      </c>
      <c r="CF11" s="40" t="n">
        <v>36.6</v>
      </c>
      <c r="CG11" s="40" t="n">
        <v>10.31</v>
      </c>
      <c r="CH11" s="40" t="n">
        <v>3.77</v>
      </c>
      <c r="CI11" s="40" t="n">
        <v>0.12</v>
      </c>
      <c r="CJ11" s="40" t="n">
        <v>0.33</v>
      </c>
      <c r="CK11" s="40" t="n">
        <v>15</v>
      </c>
      <c r="CL11" s="40" t="n">
        <v>1</v>
      </c>
      <c r="CM11" s="40" t="n">
        <v>5</v>
      </c>
      <c r="CN11" s="40" t="n">
        <v>7</v>
      </c>
      <c r="CO11" s="40" t="n">
        <v>21.2</v>
      </c>
      <c r="CP11" s="40" t="n">
        <v>15.8</v>
      </c>
      <c r="CQ11" s="40" t="n">
        <v>0.12</v>
      </c>
      <c r="CR11" s="40" t="n">
        <v>-0.2</v>
      </c>
      <c r="CS11" s="40" t="n">
        <v>0.2</v>
      </c>
      <c r="CT11" s="40" t="n">
        <v>21</v>
      </c>
      <c r="CU11" s="40" t="n">
        <v>13</v>
      </c>
      <c r="CV11" s="40" t="n">
        <v>3867</v>
      </c>
      <c r="CW11" s="40" t="n">
        <v>5168</v>
      </c>
      <c r="CX11" s="40" t="n">
        <v>74.8</v>
      </c>
      <c r="CY11" s="40" t="n">
        <v>71028</v>
      </c>
      <c r="CZ11" s="40" t="n">
        <v>27857</v>
      </c>
      <c r="DA11" s="40" t="n">
        <v>1633</v>
      </c>
      <c r="DB11" s="40" t="n">
        <v>1914</v>
      </c>
      <c r="DC11" s="40" t="n">
        <v>85.3</v>
      </c>
      <c r="DD11" s="40" t="n">
        <v>1683</v>
      </c>
      <c r="DE11" s="40" t="n">
        <v>2032</v>
      </c>
      <c r="DF11" s="40" t="n">
        <v>82.8</v>
      </c>
      <c r="DG11" s="40" t="n">
        <v>441</v>
      </c>
      <c r="DH11" s="40" t="n">
        <v>944</v>
      </c>
      <c r="DI11" s="40" t="n">
        <v>46.7</v>
      </c>
      <c r="DJ11" s="40" t="n">
        <v>9</v>
      </c>
      <c r="DK11" s="40" t="n">
        <v>12</v>
      </c>
      <c r="DL11" s="40" t="n">
        <v>9.6</v>
      </c>
      <c r="DM11" s="40" t="n">
        <v>-3</v>
      </c>
      <c r="DN11" s="40" t="n">
        <v>97</v>
      </c>
      <c r="DO11" s="40" t="n">
        <v>279</v>
      </c>
      <c r="DP11" s="40" t="n">
        <v>79</v>
      </c>
      <c r="DQ11" s="40" t="n">
        <v>24</v>
      </c>
      <c r="DR11" s="40" t="n">
        <v>338</v>
      </c>
      <c r="DS11" s="40" t="n">
        <v>21</v>
      </c>
      <c r="DT11" s="40" t="n">
        <v>13</v>
      </c>
      <c r="DU11" s="40" t="n">
        <v>5168</v>
      </c>
      <c r="DV11" s="40" t="n">
        <v>4583</v>
      </c>
      <c r="DW11" s="40" t="n">
        <v>563</v>
      </c>
      <c r="DX11" s="40" t="n">
        <v>124</v>
      </c>
      <c r="DY11" s="40" t="n">
        <v>13</v>
      </c>
      <c r="DZ11" s="40" t="n">
        <v>14</v>
      </c>
      <c r="EA11" s="40" t="n">
        <v>224</v>
      </c>
      <c r="EB11" s="40" t="n">
        <v>249</v>
      </c>
      <c r="EC11" s="40" t="n">
        <v>68</v>
      </c>
      <c r="ED11" s="40" t="n">
        <v>38</v>
      </c>
      <c r="EE11" s="40" t="n">
        <v>18</v>
      </c>
      <c r="EF11" s="40" t="n">
        <v>3</v>
      </c>
      <c r="EG11" s="40" t="n">
        <v>3867</v>
      </c>
      <c r="EH11" s="40" t="n">
        <v>22</v>
      </c>
      <c r="EI11" s="40" t="n">
        <v>72</v>
      </c>
      <c r="EJ11" s="40" t="n">
        <v>21</v>
      </c>
      <c r="EK11" s="40" t="n">
        <v>13</v>
      </c>
      <c r="EL11" s="40" t="n">
        <v>205</v>
      </c>
      <c r="EM11" s="40" t="n">
        <v>118</v>
      </c>
      <c r="EN11" s="40" t="n">
        <v>83</v>
      </c>
      <c r="EO11" s="40" t="n">
        <v>85</v>
      </c>
      <c r="EP11" s="40" t="n">
        <v>37</v>
      </c>
      <c r="EQ11" s="40" t="n">
        <v>94</v>
      </c>
      <c r="ER11" s="40" t="n">
        <v>171</v>
      </c>
      <c r="ES11" s="40" t="n">
        <v>55</v>
      </c>
      <c r="ET11" s="40" t="n">
        <v>77</v>
      </c>
      <c r="EU11" s="40" t="n">
        <v>159</v>
      </c>
      <c r="EV11" s="40" t="n">
        <v>50</v>
      </c>
      <c r="EW11" s="40" t="n">
        <v>109</v>
      </c>
      <c r="EX11" s="40" t="n">
        <v>108</v>
      </c>
      <c r="EY11" s="40" t="n">
        <v>313</v>
      </c>
      <c r="EZ11" s="40" t="n">
        <v>397</v>
      </c>
      <c r="FA11" s="40" t="n">
        <v>4</v>
      </c>
      <c r="FB11" s="40" t="n">
        <v>21</v>
      </c>
      <c r="FC11" s="40" t="n">
        <v>43.5</v>
      </c>
      <c r="FD11" s="40" t="n">
        <v>13</v>
      </c>
      <c r="FE11" s="40" t="n">
        <v>6753</v>
      </c>
      <c r="FF11" s="40" t="n">
        <v>913</v>
      </c>
      <c r="FG11" s="40" t="n">
        <v>2543</v>
      </c>
      <c r="FH11" s="40" t="n">
        <v>2826</v>
      </c>
      <c r="FI11" s="40" t="n">
        <v>1460</v>
      </c>
      <c r="FJ11" s="40" t="n">
        <v>296</v>
      </c>
      <c r="FK11" s="40" t="n">
        <v>6746</v>
      </c>
      <c r="FL11" s="40" t="n">
        <v>231</v>
      </c>
      <c r="FM11" s="40" t="n">
        <v>87</v>
      </c>
      <c r="FN11" s="40" t="n">
        <v>37.7</v>
      </c>
      <c r="FO11" s="40" t="n">
        <v>120</v>
      </c>
      <c r="FP11" s="40" t="n">
        <v>51.9</v>
      </c>
      <c r="FQ11" s="40" t="n">
        <v>3100</v>
      </c>
      <c r="FR11" s="40" t="n">
        <v>16446</v>
      </c>
      <c r="FS11" s="40" t="n">
        <v>8247</v>
      </c>
      <c r="FT11" s="40" t="n">
        <v>162</v>
      </c>
      <c r="FU11" s="40" t="n">
        <v>108</v>
      </c>
      <c r="FV11" s="40" t="n">
        <v>53</v>
      </c>
      <c r="FW11" s="40" t="n">
        <v>194</v>
      </c>
      <c r="FX11" s="40" t="n">
        <v>107</v>
      </c>
      <c r="FY11" s="40" t="n">
        <v>3820</v>
      </c>
      <c r="FZ11" s="40" t="n">
        <v>334</v>
      </c>
      <c r="GA11" s="40" t="n">
        <v>21</v>
      </c>
      <c r="GB11" s="40" t="n">
        <v>25.5</v>
      </c>
      <c r="GC11" s="40" t="n">
        <v>13</v>
      </c>
      <c r="GD11" s="40" t="n">
        <v>1170</v>
      </c>
      <c r="GE11" s="40" t="n">
        <v>90</v>
      </c>
      <c r="GF11" s="40" t="n">
        <v>100</v>
      </c>
      <c r="GG11" s="40" t="n">
        <v>13</v>
      </c>
      <c r="GH11" s="40" t="n">
        <v>143</v>
      </c>
      <c r="GI11" s="40" t="n">
        <v>84</v>
      </c>
      <c r="GJ11" s="40" t="n">
        <v>86</v>
      </c>
      <c r="GK11" s="40" t="n">
        <v>57</v>
      </c>
      <c r="GL11" s="40" t="n">
        <v>14</v>
      </c>
      <c r="GM11" s="40" t="n">
        <v>60</v>
      </c>
      <c r="GN11" s="40" t="n">
        <v>1.46</v>
      </c>
      <c r="GO11" s="40" t="n">
        <v>21</v>
      </c>
      <c r="GP11" s="40" t="n">
        <v>20</v>
      </c>
      <c r="GQ11" s="40" t="n">
        <v>1</v>
      </c>
      <c r="GR11" s="40" t="n">
        <v>0.08</v>
      </c>
      <c r="GS11" s="40" t="n">
        <v>21.2</v>
      </c>
      <c r="GT11" s="40" t="n">
        <v>15.5</v>
      </c>
      <c r="GU11" s="40" t="n">
        <v>5.8</v>
      </c>
      <c r="GV11" s="40" t="n">
        <v>0.44</v>
      </c>
      <c r="GW11" s="40" t="n">
        <v>21</v>
      </c>
      <c r="GX11" s="40" t="n">
        <v>13</v>
      </c>
      <c r="GY11" s="40" t="n">
        <v>25</v>
      </c>
      <c r="GZ11" s="40" t="n">
        <v>0</v>
      </c>
      <c r="HA11" s="40" t="n">
        <v>0</v>
      </c>
      <c r="HB11" s="40" t="n">
        <v>142</v>
      </c>
      <c r="HC11" s="40" t="n">
        <v>113</v>
      </c>
      <c r="HD11" s="40" t="n">
        <v>22</v>
      </c>
      <c r="HE11" s="40" t="n">
        <v>224</v>
      </c>
      <c r="HF11" s="40" t="n">
        <v>108</v>
      </c>
      <c r="HG11" s="40" t="n">
        <v>118</v>
      </c>
      <c r="HH11" s="40" t="n">
        <v>6</v>
      </c>
      <c r="HI11" s="40" t="n">
        <v>3</v>
      </c>
      <c r="HJ11" s="40" t="n">
        <v>2</v>
      </c>
      <c r="HK11" s="40" t="n">
        <v>539</v>
      </c>
      <c r="HL11" s="40" t="n">
        <v>244</v>
      </c>
      <c r="HM11" s="40" t="n">
        <v>222</v>
      </c>
      <c r="HN11" s="40" t="n">
        <v>52.4</v>
      </c>
      <c r="HO11" s="40" t="n">
        <v>1</v>
      </c>
      <c r="HP11" s="40" t="n">
        <v>13</v>
      </c>
      <c r="HQ11" s="40" t="n">
        <v>13</v>
      </c>
      <c r="HR11" s="40" t="n">
        <v>1170</v>
      </c>
      <c r="HS11" s="40" t="n">
        <v>13</v>
      </c>
      <c r="HT11" s="40" t="n">
        <v>20</v>
      </c>
      <c r="HU11" s="40" t="n">
        <v>1.54</v>
      </c>
      <c r="HV11" s="40" t="n">
        <v>46</v>
      </c>
      <c r="HW11" s="40" t="n">
        <v>27</v>
      </c>
      <c r="HX11" s="40" t="n">
        <v>60.9</v>
      </c>
      <c r="HY11" s="40" t="n">
        <v>6</v>
      </c>
      <c r="HZ11" s="40" t="n">
        <v>1</v>
      </c>
      <c r="IA11" s="40" t="n">
        <v>6</v>
      </c>
      <c r="IB11" s="40" t="n">
        <v>2</v>
      </c>
      <c r="IC11" s="40" t="n">
        <v>15.4</v>
      </c>
      <c r="ID11" s="40" t="n">
        <v>3</v>
      </c>
      <c r="IE11" s="40" t="n">
        <v>2</v>
      </c>
      <c r="IF11" s="40" t="n">
        <v>1</v>
      </c>
      <c r="IG11" s="40" t="n">
        <v>0</v>
      </c>
      <c r="IH11" s="40" t="n">
        <v>33.3</v>
      </c>
      <c r="II11" s="40" t="n">
        <v>1</v>
      </c>
      <c r="IJ11" s="40" t="n">
        <v>13</v>
      </c>
      <c r="IK11" s="40" t="n">
        <v>20</v>
      </c>
      <c r="IL11" s="40" t="n">
        <v>2</v>
      </c>
      <c r="IM11" s="40" t="n">
        <v>0</v>
      </c>
      <c r="IN11" s="40" t="n">
        <v>1</v>
      </c>
      <c r="IO11" s="40" t="n">
        <v>2</v>
      </c>
      <c r="IP11" s="40" t="n">
        <v>15.1</v>
      </c>
      <c r="IQ11" s="40" t="n">
        <v>0.29</v>
      </c>
      <c r="IR11" s="40" t="n">
        <v>-2.9</v>
      </c>
      <c r="IS11" s="40" t="n">
        <v>-0.22</v>
      </c>
      <c r="IT11" s="40" t="n">
        <v>72</v>
      </c>
      <c r="IU11" s="40" t="n">
        <v>189</v>
      </c>
      <c r="IV11" s="40" t="n">
        <v>38.1</v>
      </c>
      <c r="IW11" s="40" t="n">
        <v>379</v>
      </c>
      <c r="IX11" s="40" t="n">
        <v>68</v>
      </c>
      <c r="IY11" s="40" t="n">
        <v>35.4</v>
      </c>
      <c r="IZ11" s="40" t="n">
        <v>32.6</v>
      </c>
      <c r="JA11" s="40" t="n">
        <v>89</v>
      </c>
      <c r="JB11" s="40" t="n">
        <v>61.8</v>
      </c>
      <c r="JC11" s="40" t="n">
        <v>47.1</v>
      </c>
      <c r="JD11" s="40" t="n">
        <v>175</v>
      </c>
      <c r="JE11" s="40" t="n">
        <v>12</v>
      </c>
      <c r="JF11" s="40" t="n">
        <v>6.9</v>
      </c>
      <c r="JG11" s="40" t="n">
        <v>12</v>
      </c>
      <c r="JH11" s="40" t="n">
        <v>0.92</v>
      </c>
      <c r="JI11" s="40" t="n">
        <v>14</v>
      </c>
      <c r="JJ11" s="40" t="n">
        <v>13</v>
      </c>
      <c r="JK11" s="40" t="n">
        <v>21.2</v>
      </c>
      <c r="JL11" s="40" t="n">
        <v>43.5</v>
      </c>
      <c r="JM11" s="40" t="n">
        <v>134</v>
      </c>
      <c r="JN11" s="40" t="n">
        <v>49</v>
      </c>
      <c r="JO11" s="40" t="n">
        <v>36.6</v>
      </c>
      <c r="JP11" s="40" t="n">
        <v>15.8</v>
      </c>
      <c r="JQ11" s="40" t="n">
        <v>3867</v>
      </c>
      <c r="JR11" s="40" t="n">
        <v>5168</v>
      </c>
      <c r="JS11" s="40" t="n">
        <v>74.8</v>
      </c>
      <c r="JT11" s="40" t="n">
        <v>205</v>
      </c>
      <c r="JU11" s="40" t="n">
        <v>118</v>
      </c>
      <c r="JV11" s="40" t="n">
        <v>108</v>
      </c>
      <c r="JW11" s="40" t="n">
        <v>397</v>
      </c>
      <c r="JX11" s="40" t="n">
        <v>142</v>
      </c>
      <c r="JY11" s="40" t="n">
        <v>113</v>
      </c>
      <c r="JZ11" s="40" t="n">
        <v>25</v>
      </c>
      <c r="KA11" s="40" t="n">
        <v>0</v>
      </c>
      <c r="KB11" s="40" t="n">
        <v>15.3846153846</v>
      </c>
      <c r="KC11" s="40" t="n">
        <v>36.5671641791</v>
      </c>
      <c r="KD11" s="40" t="n">
        <v>74.8</v>
      </c>
      <c r="KE11" s="40" t="n">
        <v>57.5609756098</v>
      </c>
    </row>
    <row r="12">
      <c r="A12" s="40" t="inlineStr">
        <is>
          <t>Bournemouth</t>
        </is>
      </c>
      <c r="B12" s="40" t="n">
        <v>11</v>
      </c>
      <c r="C12" s="40" t="n">
        <v>13</v>
      </c>
      <c r="D12" s="40" t="n">
        <v>5</v>
      </c>
      <c r="E12" s="40" t="n">
        <v>4</v>
      </c>
      <c r="F12" s="40" t="n">
        <v>4</v>
      </c>
      <c r="G12" s="40" t="n">
        <v>21</v>
      </c>
      <c r="H12" s="40" t="n">
        <v>23</v>
      </c>
      <c r="I12" s="40" t="n">
        <v>-2</v>
      </c>
      <c r="J12" s="40" t="n">
        <v>19</v>
      </c>
      <c r="K12" s="40" t="n">
        <v>1.46</v>
      </c>
      <c r="L12" s="40" t="n">
        <v>18.8</v>
      </c>
      <c r="M12" s="40" t="n">
        <v>17</v>
      </c>
      <c r="N12" s="40" t="n">
        <v>1.8</v>
      </c>
      <c r="O12" s="40" t="n">
        <v>0.14</v>
      </c>
      <c r="P12" s="40" t="inlineStr">
        <is>
          <t>W L L D L</t>
        </is>
      </c>
      <c r="Q12" s="40" t="n">
        <v>11172</v>
      </c>
      <c r="R12" s="40" t="inlineStr">
        <is>
          <t>Antoine Semenyo - 6</t>
        </is>
      </c>
      <c r="S12" s="40" t="inlineStr">
        <is>
          <t>Đorđe Petrović</t>
        </is>
      </c>
      <c r="T12" s="40" t="n">
        <v/>
      </c>
      <c r="U12" s="40" t="n">
        <v>11</v>
      </c>
      <c r="V12" s="40" t="n">
        <v>6</v>
      </c>
      <c r="W12" s="40" t="n">
        <v>4</v>
      </c>
      <c r="X12" s="40" t="n">
        <v>2</v>
      </c>
      <c r="Y12" s="40" t="n">
        <v>0</v>
      </c>
      <c r="Z12" s="40" t="n">
        <v>10</v>
      </c>
      <c r="AA12" s="40" t="n">
        <v>4</v>
      </c>
      <c r="AB12" s="40" t="n">
        <v>6</v>
      </c>
      <c r="AC12" s="40" t="n">
        <v>14</v>
      </c>
      <c r="AD12" s="40" t="n">
        <v>2.33</v>
      </c>
      <c r="AE12" s="40" t="n">
        <v>8.9</v>
      </c>
      <c r="AF12" s="40" t="n">
        <v>3.2</v>
      </c>
      <c r="AG12" s="40" t="n">
        <v>5.7</v>
      </c>
      <c r="AH12" s="40" t="n">
        <v>0.95</v>
      </c>
      <c r="AI12" s="40" t="n">
        <v>7</v>
      </c>
      <c r="AJ12" s="40" t="n">
        <v>1</v>
      </c>
      <c r="AK12" s="40" t="n">
        <v>2</v>
      </c>
      <c r="AL12" s="40" t="n">
        <v>4</v>
      </c>
      <c r="AM12" s="40" t="n">
        <v>11</v>
      </c>
      <c r="AN12" s="40" t="n">
        <v>19</v>
      </c>
      <c r="AO12" s="40" t="n">
        <v>-8</v>
      </c>
      <c r="AP12" s="40" t="n">
        <v>5</v>
      </c>
      <c r="AQ12" s="40" t="n">
        <v>0.71</v>
      </c>
      <c r="AR12" s="40" t="n">
        <v>9.9</v>
      </c>
      <c r="AS12" s="40" t="n">
        <v>13.9</v>
      </c>
      <c r="AT12" s="40" t="n">
        <v>-3.9</v>
      </c>
      <c r="AU12" s="40" t="n">
        <v>-0.5600000000000001</v>
      </c>
      <c r="AV12" s="40" t="n">
        <v>24</v>
      </c>
      <c r="AW12" s="40" t="n">
        <v>25.8</v>
      </c>
      <c r="AX12" s="40" t="n">
        <v>53.1</v>
      </c>
      <c r="AY12" s="40" t="n">
        <v>13</v>
      </c>
      <c r="AZ12" s="40" t="n">
        <v>143</v>
      </c>
      <c r="BA12" s="40" t="n">
        <v>1170</v>
      </c>
      <c r="BB12" s="40" t="n">
        <v>13</v>
      </c>
      <c r="BC12" s="40" t="n">
        <v>21</v>
      </c>
      <c r="BD12" s="40" t="n">
        <v>12</v>
      </c>
      <c r="BE12" s="40" t="n">
        <v>33</v>
      </c>
      <c r="BF12" s="40" t="n">
        <v>19</v>
      </c>
      <c r="BG12" s="40" t="n">
        <v>2</v>
      </c>
      <c r="BH12" s="40" t="n">
        <v>3</v>
      </c>
      <c r="BI12" s="40" t="n">
        <v>35</v>
      </c>
      <c r="BJ12" s="40" t="n">
        <v>1</v>
      </c>
      <c r="BK12" s="40" t="n">
        <v>18.8</v>
      </c>
      <c r="BL12" s="40" t="n">
        <v>16.4</v>
      </c>
      <c r="BM12" s="40" t="n">
        <v>11.2</v>
      </c>
      <c r="BN12" s="40" t="n">
        <v>27.6</v>
      </c>
      <c r="BO12" s="40" t="n">
        <v>246</v>
      </c>
      <c r="BP12" s="40" t="n">
        <v>509</v>
      </c>
      <c r="BQ12" s="40" t="n">
        <v>1.62</v>
      </c>
      <c r="BR12" s="40" t="n">
        <v>0.92</v>
      </c>
      <c r="BS12" s="40" t="n">
        <v>2.54</v>
      </c>
      <c r="BT12" s="40" t="n">
        <v>1.46</v>
      </c>
      <c r="BU12" s="40" t="n">
        <v>2.38</v>
      </c>
      <c r="BV12" s="40" t="n">
        <v>1.45</v>
      </c>
      <c r="BW12" s="40" t="n">
        <v>0.86</v>
      </c>
      <c r="BX12" s="40" t="n">
        <v>2.31</v>
      </c>
      <c r="BY12" s="40" t="n">
        <v>1.26</v>
      </c>
      <c r="BZ12" s="40" t="n">
        <v>2.12</v>
      </c>
      <c r="CA12" s="40" t="n">
        <v>24</v>
      </c>
      <c r="CB12" s="40" t="n">
        <v>13</v>
      </c>
      <c r="CC12" s="40" t="n">
        <v>21</v>
      </c>
      <c r="CD12" s="40" t="n">
        <v>175</v>
      </c>
      <c r="CE12" s="40" t="n">
        <v>62</v>
      </c>
      <c r="CF12" s="40" t="n">
        <v>35.4</v>
      </c>
      <c r="CG12" s="40" t="n">
        <v>13.46</v>
      </c>
      <c r="CH12" s="40" t="n">
        <v>4.77</v>
      </c>
      <c r="CI12" s="40" t="n">
        <v>0.11</v>
      </c>
      <c r="CJ12" s="40" t="n">
        <v>0.31</v>
      </c>
      <c r="CK12" s="40" t="n">
        <v>18.8</v>
      </c>
      <c r="CL12" s="40" t="n">
        <v>10</v>
      </c>
      <c r="CM12" s="40" t="n">
        <v>2</v>
      </c>
      <c r="CN12" s="40" t="n">
        <v>3</v>
      </c>
      <c r="CO12" s="40" t="n">
        <v>18.8</v>
      </c>
      <c r="CP12" s="40" t="n">
        <v>16.4</v>
      </c>
      <c r="CQ12" s="40" t="n">
        <v>0.1</v>
      </c>
      <c r="CR12" s="40" t="n">
        <v>2.2</v>
      </c>
      <c r="CS12" s="40" t="n">
        <v>2.6</v>
      </c>
      <c r="CT12" s="40" t="n">
        <v>24</v>
      </c>
      <c r="CU12" s="40" t="n">
        <v>13</v>
      </c>
      <c r="CV12" s="40" t="n">
        <v>4984</v>
      </c>
      <c r="CW12" s="40" t="n">
        <v>6344</v>
      </c>
      <c r="CX12" s="40" t="n">
        <v>78.59999999999999</v>
      </c>
      <c r="CY12" s="40" t="n">
        <v>86625</v>
      </c>
      <c r="CZ12" s="40" t="n">
        <v>29674</v>
      </c>
      <c r="DA12" s="40" t="n">
        <v>2256</v>
      </c>
      <c r="DB12" s="40" t="n">
        <v>2543</v>
      </c>
      <c r="DC12" s="40" t="n">
        <v>88.7</v>
      </c>
      <c r="DD12" s="40" t="n">
        <v>2152</v>
      </c>
      <c r="DE12" s="40" t="n">
        <v>2486</v>
      </c>
      <c r="DF12" s="40" t="n">
        <v>86.59999999999999</v>
      </c>
      <c r="DG12" s="40" t="n">
        <v>452</v>
      </c>
      <c r="DH12" s="40" t="n">
        <v>961</v>
      </c>
      <c r="DI12" s="40" t="n">
        <v>47</v>
      </c>
      <c r="DJ12" s="40" t="n">
        <v>12</v>
      </c>
      <c r="DK12" s="40" t="n">
        <v>11.2</v>
      </c>
      <c r="DL12" s="40" t="n">
        <v>11</v>
      </c>
      <c r="DM12" s="40" t="n">
        <v>0.8</v>
      </c>
      <c r="DN12" s="40" t="n">
        <v>120</v>
      </c>
      <c r="DO12" s="40" t="n">
        <v>472</v>
      </c>
      <c r="DP12" s="40" t="n">
        <v>115</v>
      </c>
      <c r="DQ12" s="40" t="n">
        <v>34</v>
      </c>
      <c r="DR12" s="40" t="n">
        <v>509</v>
      </c>
      <c r="DS12" s="40" t="n">
        <v>24</v>
      </c>
      <c r="DT12" s="40" t="n">
        <v>13</v>
      </c>
      <c r="DU12" s="40" t="n">
        <v>6344</v>
      </c>
      <c r="DV12" s="40" t="n">
        <v>5713</v>
      </c>
      <c r="DW12" s="40" t="n">
        <v>601</v>
      </c>
      <c r="DX12" s="40" t="n">
        <v>138</v>
      </c>
      <c r="DY12" s="40" t="n">
        <v>24</v>
      </c>
      <c r="DZ12" s="40" t="n">
        <v>22</v>
      </c>
      <c r="EA12" s="40" t="n">
        <v>284</v>
      </c>
      <c r="EB12" s="40" t="n">
        <v>259</v>
      </c>
      <c r="EC12" s="40" t="n">
        <v>75</v>
      </c>
      <c r="ED12" s="40" t="n">
        <v>60</v>
      </c>
      <c r="EE12" s="40" t="n">
        <v>3</v>
      </c>
      <c r="EF12" s="40" t="n">
        <v>0</v>
      </c>
      <c r="EG12" s="40" t="n">
        <v>4984</v>
      </c>
      <c r="EH12" s="40" t="n">
        <v>30</v>
      </c>
      <c r="EI12" s="40" t="n">
        <v>129</v>
      </c>
      <c r="EJ12" s="40" t="n">
        <v>24</v>
      </c>
      <c r="EK12" s="40" t="n">
        <v>13</v>
      </c>
      <c r="EL12" s="40" t="n">
        <v>230</v>
      </c>
      <c r="EM12" s="40" t="n">
        <v>127</v>
      </c>
      <c r="EN12" s="40" t="n">
        <v>100</v>
      </c>
      <c r="EO12" s="40" t="n">
        <v>89</v>
      </c>
      <c r="EP12" s="40" t="n">
        <v>41</v>
      </c>
      <c r="EQ12" s="40" t="n">
        <v>114</v>
      </c>
      <c r="ER12" s="40" t="n">
        <v>219</v>
      </c>
      <c r="ES12" s="40" t="n">
        <v>52.1</v>
      </c>
      <c r="ET12" s="40" t="n">
        <v>105</v>
      </c>
      <c r="EU12" s="40" t="n">
        <v>150</v>
      </c>
      <c r="EV12" s="40" t="n">
        <v>36</v>
      </c>
      <c r="EW12" s="40" t="n">
        <v>114</v>
      </c>
      <c r="EX12" s="40" t="n">
        <v>116</v>
      </c>
      <c r="EY12" s="40" t="n">
        <v>346</v>
      </c>
      <c r="EZ12" s="40" t="n">
        <v>387</v>
      </c>
      <c r="FA12" s="40" t="n">
        <v>5</v>
      </c>
      <c r="FB12" s="40" t="n">
        <v>24</v>
      </c>
      <c r="FC12" s="40" t="n">
        <v>53.1</v>
      </c>
      <c r="FD12" s="40" t="n">
        <v>13</v>
      </c>
      <c r="FE12" s="40" t="n">
        <v>7977</v>
      </c>
      <c r="FF12" s="40" t="n">
        <v>789</v>
      </c>
      <c r="FG12" s="40" t="n">
        <v>2417</v>
      </c>
      <c r="FH12" s="40" t="n">
        <v>3456</v>
      </c>
      <c r="FI12" s="40" t="n">
        <v>2191</v>
      </c>
      <c r="FJ12" s="40" t="n">
        <v>326</v>
      </c>
      <c r="FK12" s="40" t="n">
        <v>7973</v>
      </c>
      <c r="FL12" s="40" t="n">
        <v>250</v>
      </c>
      <c r="FM12" s="40" t="n">
        <v>101</v>
      </c>
      <c r="FN12" s="40" t="n">
        <v>40.4</v>
      </c>
      <c r="FO12" s="40" t="n">
        <v>119</v>
      </c>
      <c r="FP12" s="40" t="n">
        <v>47.6</v>
      </c>
      <c r="FQ12" s="40" t="n">
        <v>4575</v>
      </c>
      <c r="FR12" s="40" t="n">
        <v>24723</v>
      </c>
      <c r="FS12" s="40" t="n">
        <v>13584</v>
      </c>
      <c r="FT12" s="40" t="n">
        <v>246</v>
      </c>
      <c r="FU12" s="40" t="n">
        <v>204</v>
      </c>
      <c r="FV12" s="40" t="n">
        <v>61</v>
      </c>
      <c r="FW12" s="40" t="n">
        <v>206</v>
      </c>
      <c r="FX12" s="40" t="n">
        <v>110</v>
      </c>
      <c r="FY12" s="40" t="n">
        <v>4938</v>
      </c>
      <c r="FZ12" s="40" t="n">
        <v>505</v>
      </c>
      <c r="GA12" s="40" t="n">
        <v>24</v>
      </c>
      <c r="GB12" s="40" t="n">
        <v>25.8</v>
      </c>
      <c r="GC12" s="40" t="n">
        <v>13</v>
      </c>
      <c r="GD12" s="40" t="n">
        <v>1170</v>
      </c>
      <c r="GE12" s="40" t="n">
        <v>90</v>
      </c>
      <c r="GF12" s="40" t="n">
        <v>100</v>
      </c>
      <c r="GG12" s="40" t="n">
        <v>13</v>
      </c>
      <c r="GH12" s="40" t="n">
        <v>143</v>
      </c>
      <c r="GI12" s="40" t="n">
        <v>81</v>
      </c>
      <c r="GJ12" s="40" t="n">
        <v>80</v>
      </c>
      <c r="GK12" s="40" t="n">
        <v>64</v>
      </c>
      <c r="GL12" s="40" t="n">
        <v>20</v>
      </c>
      <c r="GM12" s="40" t="n">
        <v>53</v>
      </c>
      <c r="GN12" s="40" t="n">
        <v>1.46</v>
      </c>
      <c r="GO12" s="40" t="n">
        <v>21</v>
      </c>
      <c r="GP12" s="40" t="n">
        <v>23</v>
      </c>
      <c r="GQ12" s="40" t="n">
        <v>-2</v>
      </c>
      <c r="GR12" s="40" t="n">
        <v>-0.15</v>
      </c>
      <c r="GS12" s="40" t="n">
        <v>18.8</v>
      </c>
      <c r="GT12" s="40" t="n">
        <v>17</v>
      </c>
      <c r="GU12" s="40" t="n">
        <v>1.8</v>
      </c>
      <c r="GV12" s="40" t="n">
        <v>0.14</v>
      </c>
      <c r="GW12" s="40" t="n">
        <v>24</v>
      </c>
      <c r="GX12" s="40" t="n">
        <v>13</v>
      </c>
      <c r="GY12" s="40" t="n">
        <v>35</v>
      </c>
      <c r="GZ12" s="40" t="n">
        <v>1</v>
      </c>
      <c r="HA12" s="40" t="n">
        <v>0</v>
      </c>
      <c r="HB12" s="40" t="n">
        <v>166</v>
      </c>
      <c r="HC12" s="40" t="n">
        <v>127</v>
      </c>
      <c r="HD12" s="40" t="n">
        <v>30</v>
      </c>
      <c r="HE12" s="40" t="n">
        <v>284</v>
      </c>
      <c r="HF12" s="40" t="n">
        <v>116</v>
      </c>
      <c r="HG12" s="40" t="n">
        <v>127</v>
      </c>
      <c r="HH12" s="40" t="n">
        <v>1</v>
      </c>
      <c r="HI12" s="40" t="n">
        <v>2</v>
      </c>
      <c r="HJ12" s="40" t="n">
        <v>0</v>
      </c>
      <c r="HK12" s="40" t="n">
        <v>580</v>
      </c>
      <c r="HL12" s="40" t="n">
        <v>186</v>
      </c>
      <c r="HM12" s="40" t="n">
        <v>220</v>
      </c>
      <c r="HN12" s="40" t="n">
        <v>45.8</v>
      </c>
      <c r="HO12" s="40" t="n">
        <v>1</v>
      </c>
      <c r="HP12" s="40" t="n">
        <v>13</v>
      </c>
      <c r="HQ12" s="40" t="n">
        <v>13</v>
      </c>
      <c r="HR12" s="40" t="n">
        <v>1170</v>
      </c>
      <c r="HS12" s="40" t="n">
        <v>13</v>
      </c>
      <c r="HT12" s="40" t="n">
        <v>23</v>
      </c>
      <c r="HU12" s="40" t="n">
        <v>1.77</v>
      </c>
      <c r="HV12" s="40" t="n">
        <v>61</v>
      </c>
      <c r="HW12" s="40" t="n">
        <v>38</v>
      </c>
      <c r="HX12" s="40" t="n">
        <v>65.59999999999999</v>
      </c>
      <c r="HY12" s="40" t="n">
        <v>5</v>
      </c>
      <c r="HZ12" s="40" t="n">
        <v>4</v>
      </c>
      <c r="IA12" s="40" t="n">
        <v>4</v>
      </c>
      <c r="IB12" s="40" t="n">
        <v>4</v>
      </c>
      <c r="IC12" s="40" t="n">
        <v>30.8</v>
      </c>
      <c r="ID12" s="40" t="n">
        <v>2</v>
      </c>
      <c r="IE12" s="40" t="n">
        <v>2</v>
      </c>
      <c r="IF12" s="40" t="n">
        <v>0</v>
      </c>
      <c r="IG12" s="40" t="n">
        <v>0</v>
      </c>
      <c r="IH12" s="40" t="n">
        <v>0</v>
      </c>
      <c r="II12" s="40" t="n">
        <v>1</v>
      </c>
      <c r="IJ12" s="40" t="n">
        <v>13</v>
      </c>
      <c r="IK12" s="40" t="n">
        <v>23</v>
      </c>
      <c r="IL12" s="40" t="n">
        <v>2</v>
      </c>
      <c r="IM12" s="40" t="n">
        <v>1</v>
      </c>
      <c r="IN12" s="40" t="n">
        <v>5</v>
      </c>
      <c r="IO12" s="40" t="n">
        <v>0</v>
      </c>
      <c r="IP12" s="40" t="n">
        <v>19.1</v>
      </c>
      <c r="IQ12" s="40" t="n">
        <v>0.29</v>
      </c>
      <c r="IR12" s="40" t="n">
        <v>-3.9</v>
      </c>
      <c r="IS12" s="40" t="n">
        <v>-0.3</v>
      </c>
      <c r="IT12" s="40" t="n">
        <v>38</v>
      </c>
      <c r="IU12" s="40" t="n">
        <v>136</v>
      </c>
      <c r="IV12" s="40" t="n">
        <v>27.9</v>
      </c>
      <c r="IW12" s="40" t="n">
        <v>294</v>
      </c>
      <c r="IX12" s="40" t="n">
        <v>66</v>
      </c>
      <c r="IY12" s="40" t="n">
        <v>29.6</v>
      </c>
      <c r="IZ12" s="40" t="n">
        <v>31</v>
      </c>
      <c r="JA12" s="40" t="n">
        <v>93</v>
      </c>
      <c r="JB12" s="40" t="n">
        <v>52.7</v>
      </c>
      <c r="JC12" s="40" t="n">
        <v>44</v>
      </c>
      <c r="JD12" s="40" t="n">
        <v>158</v>
      </c>
      <c r="JE12" s="40" t="n">
        <v>15</v>
      </c>
      <c r="JF12" s="40" t="n">
        <v>9.5</v>
      </c>
      <c r="JG12" s="40" t="n">
        <v>24</v>
      </c>
      <c r="JH12" s="40" t="n">
        <v>1.85</v>
      </c>
      <c r="JI12" s="40" t="n">
        <v>14.3</v>
      </c>
      <c r="JJ12" s="40" t="n">
        <v>13</v>
      </c>
      <c r="JK12" s="40" t="n">
        <v>18.8</v>
      </c>
      <c r="JL12" s="40" t="n">
        <v>53.1</v>
      </c>
      <c r="JM12" s="40" t="n">
        <v>175</v>
      </c>
      <c r="JN12" s="40" t="n">
        <v>62</v>
      </c>
      <c r="JO12" s="40" t="n">
        <v>35.4</v>
      </c>
      <c r="JP12" s="40" t="n">
        <v>16.4</v>
      </c>
      <c r="JQ12" s="40" t="n">
        <v>4984</v>
      </c>
      <c r="JR12" s="40" t="n">
        <v>6344</v>
      </c>
      <c r="JS12" s="40" t="n">
        <v>78.59999999999999</v>
      </c>
      <c r="JT12" s="40" t="n">
        <v>230</v>
      </c>
      <c r="JU12" s="40" t="n">
        <v>127</v>
      </c>
      <c r="JV12" s="40" t="n">
        <v>116</v>
      </c>
      <c r="JW12" s="40" t="n">
        <v>387</v>
      </c>
      <c r="JX12" s="40" t="n">
        <v>166</v>
      </c>
      <c r="JY12" s="40" t="n">
        <v>127</v>
      </c>
      <c r="JZ12" s="40" t="n">
        <v>35</v>
      </c>
      <c r="KA12" s="40" t="n">
        <v>1</v>
      </c>
      <c r="KB12" s="40" t="n">
        <v>30.7692307692</v>
      </c>
      <c r="KC12" s="40" t="n">
        <v>35.4285714286</v>
      </c>
      <c r="KD12" s="40" t="n">
        <v>78.59999999999999</v>
      </c>
      <c r="KE12" s="40" t="n">
        <v>55.2173913043</v>
      </c>
    </row>
    <row r="13">
      <c r="A13" s="40" t="inlineStr">
        <is>
          <t>Tottenham</t>
        </is>
      </c>
      <c r="B13" s="40" t="n">
        <v>12</v>
      </c>
      <c r="C13" s="40" t="n">
        <v>13</v>
      </c>
      <c r="D13" s="40" t="n">
        <v>5</v>
      </c>
      <c r="E13" s="40" t="n">
        <v>3</v>
      </c>
      <c r="F13" s="40" t="n">
        <v>5</v>
      </c>
      <c r="G13" s="40" t="n">
        <v>21</v>
      </c>
      <c r="H13" s="40" t="n">
        <v>16</v>
      </c>
      <c r="I13" s="40" t="n">
        <v>5</v>
      </c>
      <c r="J13" s="40" t="n">
        <v>18</v>
      </c>
      <c r="K13" s="40" t="n">
        <v>1.38</v>
      </c>
      <c r="L13" s="40" t="n">
        <v>11.9</v>
      </c>
      <c r="M13" s="40" t="n">
        <v>17.5</v>
      </c>
      <c r="N13" s="40" t="n">
        <v>-5.6</v>
      </c>
      <c r="O13" s="40" t="n">
        <v>-0.43</v>
      </c>
      <c r="P13" s="40" t="inlineStr">
        <is>
          <t>W L D L L</t>
        </is>
      </c>
      <c r="Q13" s="40" t="n">
        <v>61016</v>
      </c>
      <c r="R13" s="40" t="inlineStr">
        <is>
          <t>Richarlison - 5</t>
        </is>
      </c>
      <c r="S13" s="40" t="inlineStr">
        <is>
          <t>Guglielmo Vicario</t>
        </is>
      </c>
      <c r="T13" s="40" t="n">
        <v/>
      </c>
      <c r="U13" s="40" t="n">
        <v>12</v>
      </c>
      <c r="V13" s="40" t="n">
        <v>7</v>
      </c>
      <c r="W13" s="40" t="n">
        <v>1</v>
      </c>
      <c r="X13" s="40" t="n">
        <v>2</v>
      </c>
      <c r="Y13" s="40" t="n">
        <v>4</v>
      </c>
      <c r="Z13" s="40" t="n">
        <v>8</v>
      </c>
      <c r="AA13" s="40" t="n">
        <v>9</v>
      </c>
      <c r="AB13" s="40" t="n">
        <v>-1</v>
      </c>
      <c r="AC13" s="40" t="n">
        <v>5</v>
      </c>
      <c r="AD13" s="40" t="n">
        <v>0.71</v>
      </c>
      <c r="AE13" s="40" t="n">
        <v>6</v>
      </c>
      <c r="AF13" s="40" t="n">
        <v>8.699999999999999</v>
      </c>
      <c r="AG13" s="40" t="n">
        <v>-2.7</v>
      </c>
      <c r="AH13" s="40" t="n">
        <v>-0.39</v>
      </c>
      <c r="AI13" s="40" t="n">
        <v>6</v>
      </c>
      <c r="AJ13" s="40" t="n">
        <v>4</v>
      </c>
      <c r="AK13" s="40" t="n">
        <v>1</v>
      </c>
      <c r="AL13" s="40" t="n">
        <v>1</v>
      </c>
      <c r="AM13" s="40" t="n">
        <v>13</v>
      </c>
      <c r="AN13" s="40" t="n">
        <v>7</v>
      </c>
      <c r="AO13" s="40" t="n">
        <v>6</v>
      </c>
      <c r="AP13" s="40" t="n">
        <v>13</v>
      </c>
      <c r="AQ13" s="40" t="n">
        <v>2.17</v>
      </c>
      <c r="AR13" s="40" t="n">
        <v>5.9</v>
      </c>
      <c r="AS13" s="40" t="n">
        <v>8.800000000000001</v>
      </c>
      <c r="AT13" s="40" t="n">
        <v>-2.9</v>
      </c>
      <c r="AU13" s="40" t="n">
        <v>-0.48</v>
      </c>
      <c r="AV13" s="40" t="n">
        <v>20</v>
      </c>
      <c r="AW13" s="40" t="n">
        <v>25.8</v>
      </c>
      <c r="AX13" s="40" t="n">
        <v>53.5</v>
      </c>
      <c r="AY13" s="40" t="n">
        <v>13</v>
      </c>
      <c r="AZ13" s="40" t="n">
        <v>143</v>
      </c>
      <c r="BA13" s="40" t="n">
        <v>1170</v>
      </c>
      <c r="BB13" s="40" t="n">
        <v>13</v>
      </c>
      <c r="BC13" s="40" t="n">
        <v>20</v>
      </c>
      <c r="BD13" s="40" t="n">
        <v>18</v>
      </c>
      <c r="BE13" s="40" t="n">
        <v>38</v>
      </c>
      <c r="BF13" s="40" t="n">
        <v>20</v>
      </c>
      <c r="BG13" s="40" t="n">
        <v>0</v>
      </c>
      <c r="BH13" s="40" t="n">
        <v>0</v>
      </c>
      <c r="BI13" s="40" t="n">
        <v>32</v>
      </c>
      <c r="BJ13" s="40" t="n">
        <v>0</v>
      </c>
      <c r="BK13" s="40" t="n">
        <v>11.9</v>
      </c>
      <c r="BL13" s="40" t="n">
        <v>11.9</v>
      </c>
      <c r="BM13" s="40" t="n">
        <v>9</v>
      </c>
      <c r="BN13" s="40" t="n">
        <v>20.9</v>
      </c>
      <c r="BO13" s="40" t="n">
        <v>234</v>
      </c>
      <c r="BP13" s="40" t="n">
        <v>466</v>
      </c>
      <c r="BQ13" s="40" t="n">
        <v>1.54</v>
      </c>
      <c r="BR13" s="40" t="n">
        <v>1.38</v>
      </c>
      <c r="BS13" s="40" t="n">
        <v>2.92</v>
      </c>
      <c r="BT13" s="40" t="n">
        <v>1.54</v>
      </c>
      <c r="BU13" s="40" t="n">
        <v>2.92</v>
      </c>
      <c r="BV13" s="40" t="n">
        <v>0.92</v>
      </c>
      <c r="BW13" s="40" t="n">
        <v>0.6899999999999999</v>
      </c>
      <c r="BX13" s="40" t="n">
        <v>1.61</v>
      </c>
      <c r="BY13" s="40" t="n">
        <v>0.92</v>
      </c>
      <c r="BZ13" s="40" t="n">
        <v>1.61</v>
      </c>
      <c r="CA13" s="40" t="n">
        <v>20</v>
      </c>
      <c r="CB13" s="40" t="n">
        <v>13</v>
      </c>
      <c r="CC13" s="40" t="n">
        <v>20</v>
      </c>
      <c r="CD13" s="40" t="n">
        <v>124</v>
      </c>
      <c r="CE13" s="40" t="n">
        <v>41</v>
      </c>
      <c r="CF13" s="40" t="n">
        <v>33.1</v>
      </c>
      <c r="CG13" s="40" t="n">
        <v>9.539999999999999</v>
      </c>
      <c r="CH13" s="40" t="n">
        <v>3.15</v>
      </c>
      <c r="CI13" s="40" t="n">
        <v>0.16</v>
      </c>
      <c r="CJ13" s="40" t="n">
        <v>0.49</v>
      </c>
      <c r="CK13" s="40" t="n">
        <v>15.5</v>
      </c>
      <c r="CL13" s="40" t="n">
        <v>3</v>
      </c>
      <c r="CM13" s="40" t="n">
        <v>0</v>
      </c>
      <c r="CN13" s="40" t="n">
        <v>0</v>
      </c>
      <c r="CO13" s="40" t="n">
        <v>11.9</v>
      </c>
      <c r="CP13" s="40" t="n">
        <v>11.9</v>
      </c>
      <c r="CQ13" s="40" t="n">
        <v>0.1</v>
      </c>
      <c r="CR13" s="40" t="n">
        <v>8.1</v>
      </c>
      <c r="CS13" s="40" t="n">
        <v>8.1</v>
      </c>
      <c r="CT13" s="40" t="n">
        <v>20</v>
      </c>
      <c r="CU13" s="40" t="n">
        <v>13</v>
      </c>
      <c r="CV13" s="40" t="n">
        <v>5017</v>
      </c>
      <c r="CW13" s="40" t="n">
        <v>6265</v>
      </c>
      <c r="CX13" s="40" t="n">
        <v>80.09999999999999</v>
      </c>
      <c r="CY13" s="40" t="n">
        <v>91235</v>
      </c>
      <c r="CZ13" s="40" t="n">
        <v>30733</v>
      </c>
      <c r="DA13" s="40" t="n">
        <v>2038</v>
      </c>
      <c r="DB13" s="40" t="n">
        <v>2275</v>
      </c>
      <c r="DC13" s="40" t="n">
        <v>89.59999999999999</v>
      </c>
      <c r="DD13" s="40" t="n">
        <v>2450</v>
      </c>
      <c r="DE13" s="40" t="n">
        <v>2765</v>
      </c>
      <c r="DF13" s="40" t="n">
        <v>88.59999999999999</v>
      </c>
      <c r="DG13" s="40" t="n">
        <v>448</v>
      </c>
      <c r="DH13" s="40" t="n">
        <v>951</v>
      </c>
      <c r="DI13" s="40" t="n">
        <v>47.1</v>
      </c>
      <c r="DJ13" s="40" t="n">
        <v>18</v>
      </c>
      <c r="DK13" s="40" t="n">
        <v>9</v>
      </c>
      <c r="DL13" s="40" t="n">
        <v>8.1</v>
      </c>
      <c r="DM13" s="40" t="n">
        <v>9</v>
      </c>
      <c r="DN13" s="40" t="n">
        <v>88</v>
      </c>
      <c r="DO13" s="40" t="n">
        <v>403</v>
      </c>
      <c r="DP13" s="40" t="n">
        <v>84</v>
      </c>
      <c r="DQ13" s="40" t="n">
        <v>32</v>
      </c>
      <c r="DR13" s="40" t="n">
        <v>466</v>
      </c>
      <c r="DS13" s="40" t="n">
        <v>20</v>
      </c>
      <c r="DT13" s="40" t="n">
        <v>13</v>
      </c>
      <c r="DU13" s="40" t="n">
        <v>6265</v>
      </c>
      <c r="DV13" s="40" t="n">
        <v>5621</v>
      </c>
      <c r="DW13" s="40" t="n">
        <v>617</v>
      </c>
      <c r="DX13" s="40" t="n">
        <v>138</v>
      </c>
      <c r="DY13" s="40" t="n">
        <v>6</v>
      </c>
      <c r="DZ13" s="40" t="n">
        <v>31</v>
      </c>
      <c r="EA13" s="40" t="n">
        <v>291</v>
      </c>
      <c r="EB13" s="40" t="n">
        <v>268</v>
      </c>
      <c r="EC13" s="40" t="n">
        <v>76</v>
      </c>
      <c r="ED13" s="40" t="n">
        <v>67</v>
      </c>
      <c r="EE13" s="40" t="n">
        <v>3</v>
      </c>
      <c r="EF13" s="40" t="n">
        <v>0</v>
      </c>
      <c r="EG13" s="40" t="n">
        <v>5017</v>
      </c>
      <c r="EH13" s="40" t="n">
        <v>27</v>
      </c>
      <c r="EI13" s="40" t="n">
        <v>112</v>
      </c>
      <c r="EJ13" s="40" t="n">
        <v>20</v>
      </c>
      <c r="EK13" s="40" t="n">
        <v>13</v>
      </c>
      <c r="EL13" s="40" t="n">
        <v>262</v>
      </c>
      <c r="EM13" s="40" t="n">
        <v>155</v>
      </c>
      <c r="EN13" s="40" t="n">
        <v>115</v>
      </c>
      <c r="EO13" s="40" t="n">
        <v>118</v>
      </c>
      <c r="EP13" s="40" t="n">
        <v>29</v>
      </c>
      <c r="EQ13" s="40" t="n">
        <v>122</v>
      </c>
      <c r="ER13" s="40" t="n">
        <v>203</v>
      </c>
      <c r="ES13" s="40" t="n">
        <v>60.1</v>
      </c>
      <c r="ET13" s="40" t="n">
        <v>81</v>
      </c>
      <c r="EU13" s="40" t="n">
        <v>136</v>
      </c>
      <c r="EV13" s="40" t="n">
        <v>28</v>
      </c>
      <c r="EW13" s="40" t="n">
        <v>108</v>
      </c>
      <c r="EX13" s="40" t="n">
        <v>84</v>
      </c>
      <c r="EY13" s="40" t="n">
        <v>346</v>
      </c>
      <c r="EZ13" s="40" t="n">
        <v>347</v>
      </c>
      <c r="FA13" s="40" t="n">
        <v>16</v>
      </c>
      <c r="FB13" s="40" t="n">
        <v>20</v>
      </c>
      <c r="FC13" s="40" t="n">
        <v>53.5</v>
      </c>
      <c r="FD13" s="40" t="n">
        <v>13</v>
      </c>
      <c r="FE13" s="40" t="n">
        <v>7862</v>
      </c>
      <c r="FF13" s="40" t="n">
        <v>894</v>
      </c>
      <c r="FG13" s="40" t="n">
        <v>2737</v>
      </c>
      <c r="FH13" s="40" t="n">
        <v>3364</v>
      </c>
      <c r="FI13" s="40" t="n">
        <v>1844</v>
      </c>
      <c r="FJ13" s="40" t="n">
        <v>285</v>
      </c>
      <c r="FK13" s="40" t="n">
        <v>7862</v>
      </c>
      <c r="FL13" s="40" t="n">
        <v>289</v>
      </c>
      <c r="FM13" s="40" t="n">
        <v>119</v>
      </c>
      <c r="FN13" s="40" t="n">
        <v>41.2</v>
      </c>
      <c r="FO13" s="40" t="n">
        <v>138</v>
      </c>
      <c r="FP13" s="40" t="n">
        <v>47.8</v>
      </c>
      <c r="FQ13" s="40" t="n">
        <v>4288</v>
      </c>
      <c r="FR13" s="40" t="n">
        <v>23156</v>
      </c>
      <c r="FS13" s="40" t="n">
        <v>11386</v>
      </c>
      <c r="FT13" s="40" t="n">
        <v>234</v>
      </c>
      <c r="FU13" s="40" t="n">
        <v>149</v>
      </c>
      <c r="FV13" s="40" t="n">
        <v>55</v>
      </c>
      <c r="FW13" s="40" t="n">
        <v>238</v>
      </c>
      <c r="FX13" s="40" t="n">
        <v>140</v>
      </c>
      <c r="FY13" s="40" t="n">
        <v>4961</v>
      </c>
      <c r="FZ13" s="40" t="n">
        <v>462</v>
      </c>
      <c r="GA13" s="40" t="n">
        <v>20</v>
      </c>
      <c r="GB13" s="40" t="n">
        <v>25.8</v>
      </c>
      <c r="GC13" s="40" t="n">
        <v>13</v>
      </c>
      <c r="GD13" s="40" t="n">
        <v>1170</v>
      </c>
      <c r="GE13" s="40" t="n">
        <v>90</v>
      </c>
      <c r="GF13" s="40" t="n">
        <v>100</v>
      </c>
      <c r="GG13" s="40" t="n">
        <v>13</v>
      </c>
      <c r="GH13" s="40" t="n">
        <v>143</v>
      </c>
      <c r="GI13" s="40" t="n">
        <v>82</v>
      </c>
      <c r="GJ13" s="40" t="n">
        <v>83</v>
      </c>
      <c r="GK13" s="40" t="n">
        <v>61</v>
      </c>
      <c r="GL13" s="40" t="n">
        <v>18</v>
      </c>
      <c r="GM13" s="40" t="n">
        <v>55</v>
      </c>
      <c r="GN13" s="40" t="n">
        <v>1.38</v>
      </c>
      <c r="GO13" s="40" t="n">
        <v>21</v>
      </c>
      <c r="GP13" s="40" t="n">
        <v>16</v>
      </c>
      <c r="GQ13" s="40" t="n">
        <v>5</v>
      </c>
      <c r="GR13" s="40" t="n">
        <v>0.38</v>
      </c>
      <c r="GS13" s="40" t="n">
        <v>11.9</v>
      </c>
      <c r="GT13" s="40" t="n">
        <v>17.5</v>
      </c>
      <c r="GU13" s="40" t="n">
        <v>-5.6</v>
      </c>
      <c r="GV13" s="40" t="n">
        <v>-0.43</v>
      </c>
      <c r="GW13" s="40" t="n">
        <v>20</v>
      </c>
      <c r="GX13" s="40" t="n">
        <v>13</v>
      </c>
      <c r="GY13" s="40" t="n">
        <v>32</v>
      </c>
      <c r="GZ13" s="40" t="n">
        <v>0</v>
      </c>
      <c r="HA13" s="40" t="n">
        <v>0</v>
      </c>
      <c r="HB13" s="40" t="n">
        <v>153</v>
      </c>
      <c r="HC13" s="40" t="n">
        <v>114</v>
      </c>
      <c r="HD13" s="40" t="n">
        <v>27</v>
      </c>
      <c r="HE13" s="40" t="n">
        <v>291</v>
      </c>
      <c r="HF13" s="40" t="n">
        <v>84</v>
      </c>
      <c r="HG13" s="40" t="n">
        <v>155</v>
      </c>
      <c r="HH13" s="40" t="n">
        <v>0</v>
      </c>
      <c r="HI13" s="40" t="n">
        <v>0</v>
      </c>
      <c r="HJ13" s="40" t="n">
        <v>0</v>
      </c>
      <c r="HK13" s="40" t="n">
        <v>555</v>
      </c>
      <c r="HL13" s="40" t="n">
        <v>185</v>
      </c>
      <c r="HM13" s="40" t="n">
        <v>214</v>
      </c>
      <c r="HN13" s="40" t="n">
        <v>46.4</v>
      </c>
      <c r="HO13" s="40" t="n">
        <v>1</v>
      </c>
      <c r="HP13" s="40" t="n">
        <v>13</v>
      </c>
      <c r="HQ13" s="40" t="n">
        <v>13</v>
      </c>
      <c r="HR13" s="40" t="n">
        <v>1170</v>
      </c>
      <c r="HS13" s="40" t="n">
        <v>13</v>
      </c>
      <c r="HT13" s="40" t="n">
        <v>16</v>
      </c>
      <c r="HU13" s="40" t="n">
        <v>1.23</v>
      </c>
      <c r="HV13" s="40" t="n">
        <v>55</v>
      </c>
      <c r="HW13" s="40" t="n">
        <v>39</v>
      </c>
      <c r="HX13" s="40" t="n">
        <v>70.90000000000001</v>
      </c>
      <c r="HY13" s="40" t="n">
        <v>5</v>
      </c>
      <c r="HZ13" s="40" t="n">
        <v>3</v>
      </c>
      <c r="IA13" s="40" t="n">
        <v>5</v>
      </c>
      <c r="IB13" s="40" t="n">
        <v>4</v>
      </c>
      <c r="IC13" s="40" t="n">
        <v>30.8</v>
      </c>
      <c r="ID13" s="40" t="n">
        <v>0</v>
      </c>
      <c r="IE13" s="40" t="n">
        <v>0</v>
      </c>
      <c r="IF13" s="40" t="n">
        <v>0</v>
      </c>
      <c r="IG13" s="40" t="n">
        <v>0</v>
      </c>
      <c r="IH13" s="40" t="n">
        <v/>
      </c>
      <c r="II13" s="40" t="n">
        <v>1</v>
      </c>
      <c r="IJ13" s="40" t="n">
        <v>13</v>
      </c>
      <c r="IK13" s="40" t="n">
        <v>16</v>
      </c>
      <c r="IL13" s="40" t="n">
        <v>0</v>
      </c>
      <c r="IM13" s="40" t="n">
        <v>0</v>
      </c>
      <c r="IN13" s="40" t="n">
        <v>2</v>
      </c>
      <c r="IO13" s="40" t="n">
        <v>0</v>
      </c>
      <c r="IP13" s="40" t="n">
        <v>17.9</v>
      </c>
      <c r="IQ13" s="40" t="n">
        <v>0.34</v>
      </c>
      <c r="IR13" s="40" t="n">
        <v>1.9</v>
      </c>
      <c r="IS13" s="40" t="n">
        <v>0.15</v>
      </c>
      <c r="IT13" s="40" t="n">
        <v>45</v>
      </c>
      <c r="IU13" s="40" t="n">
        <v>153</v>
      </c>
      <c r="IV13" s="40" t="n">
        <v>29.4</v>
      </c>
      <c r="IW13" s="40" t="n">
        <v>423</v>
      </c>
      <c r="IX13" s="40" t="n">
        <v>66</v>
      </c>
      <c r="IY13" s="40" t="n">
        <v>28.6</v>
      </c>
      <c r="IZ13" s="40" t="n">
        <v>30.5</v>
      </c>
      <c r="JA13" s="40" t="n">
        <v>106</v>
      </c>
      <c r="JB13" s="40" t="n">
        <v>30.2</v>
      </c>
      <c r="JC13" s="40" t="n">
        <v>29.9</v>
      </c>
      <c r="JD13" s="40" t="n">
        <v>152</v>
      </c>
      <c r="JE13" s="40" t="n">
        <v>6</v>
      </c>
      <c r="JF13" s="40" t="n">
        <v>3.9</v>
      </c>
      <c r="JG13" s="40" t="n">
        <v>29</v>
      </c>
      <c r="JH13" s="40" t="n">
        <v>2.23</v>
      </c>
      <c r="JI13" s="40" t="n">
        <v>17.4</v>
      </c>
      <c r="JJ13" s="40" t="n">
        <v>13</v>
      </c>
      <c r="JK13" s="40" t="n">
        <v>11.9</v>
      </c>
      <c r="JL13" s="40" t="n">
        <v>53.5</v>
      </c>
      <c r="JM13" s="40" t="n">
        <v>124</v>
      </c>
      <c r="JN13" s="40" t="n">
        <v>41</v>
      </c>
      <c r="JO13" s="40" t="n">
        <v>33.1</v>
      </c>
      <c r="JP13" s="40" t="n">
        <v>11.9</v>
      </c>
      <c r="JQ13" s="40" t="n">
        <v>5017</v>
      </c>
      <c r="JR13" s="40" t="n">
        <v>6265</v>
      </c>
      <c r="JS13" s="40" t="n">
        <v>80.09999999999999</v>
      </c>
      <c r="JT13" s="40" t="n">
        <v>262</v>
      </c>
      <c r="JU13" s="40" t="n">
        <v>155</v>
      </c>
      <c r="JV13" s="40" t="n">
        <v>84</v>
      </c>
      <c r="JW13" s="40" t="n">
        <v>347</v>
      </c>
      <c r="JX13" s="40" t="n">
        <v>153</v>
      </c>
      <c r="JY13" s="40" t="n">
        <v>114</v>
      </c>
      <c r="JZ13" s="40" t="n">
        <v>32</v>
      </c>
      <c r="KA13" s="40" t="n">
        <v>0</v>
      </c>
      <c r="KB13" s="40" t="n">
        <v>30.7692307692</v>
      </c>
      <c r="KC13" s="40" t="n">
        <v>33.064516129</v>
      </c>
      <c r="KD13" s="40" t="n">
        <v>80.09999999999999</v>
      </c>
      <c r="KE13" s="40" t="n">
        <v>59.1603053435</v>
      </c>
    </row>
    <row r="14">
      <c r="A14" s="40" t="inlineStr">
        <is>
          <t>Newcastle Utd</t>
        </is>
      </c>
      <c r="B14" s="40" t="n">
        <v>13</v>
      </c>
      <c r="C14" s="40" t="n">
        <v>13</v>
      </c>
      <c r="D14" s="40" t="n">
        <v>5</v>
      </c>
      <c r="E14" s="40" t="n">
        <v>3</v>
      </c>
      <c r="F14" s="40" t="n">
        <v>5</v>
      </c>
      <c r="G14" s="40" t="n">
        <v>17</v>
      </c>
      <c r="H14" s="40" t="n">
        <v>16</v>
      </c>
      <c r="I14" s="40" t="n">
        <v>1</v>
      </c>
      <c r="J14" s="40" t="n">
        <v>18</v>
      </c>
      <c r="K14" s="40" t="n">
        <v>1.38</v>
      </c>
      <c r="L14" s="40" t="n">
        <v>16.9</v>
      </c>
      <c r="M14" s="40" t="n">
        <v>14.5</v>
      </c>
      <c r="N14" s="40" t="n">
        <v>2.3</v>
      </c>
      <c r="O14" s="40" t="n">
        <v>0.18</v>
      </c>
      <c r="P14" s="40" t="inlineStr">
        <is>
          <t>W L L W W</t>
        </is>
      </c>
      <c r="Q14" s="40" t="n">
        <v>52183</v>
      </c>
      <c r="R14" s="40" t="inlineStr">
        <is>
          <t>Nick Woltemade - 5</t>
        </is>
      </c>
      <c r="S14" s="40" t="inlineStr">
        <is>
          <t>Nick Pope</t>
        </is>
      </c>
      <c r="T14" s="40" t="n">
        <v/>
      </c>
      <c r="U14" s="40" t="n">
        <v>13</v>
      </c>
      <c r="V14" s="40" t="n">
        <v>6</v>
      </c>
      <c r="W14" s="40" t="n">
        <v>4</v>
      </c>
      <c r="X14" s="40" t="n">
        <v>0</v>
      </c>
      <c r="Y14" s="40" t="n">
        <v>2</v>
      </c>
      <c r="Z14" s="40" t="n">
        <v>10</v>
      </c>
      <c r="AA14" s="40" t="n">
        <v>7</v>
      </c>
      <c r="AB14" s="40" t="n">
        <v>3</v>
      </c>
      <c r="AC14" s="40" t="n">
        <v>12</v>
      </c>
      <c r="AD14" s="40" t="n">
        <v>2</v>
      </c>
      <c r="AE14" s="40" t="n">
        <v>10.7</v>
      </c>
      <c r="AF14" s="40" t="n">
        <v>7.2</v>
      </c>
      <c r="AG14" s="40" t="n">
        <v>3.5</v>
      </c>
      <c r="AH14" s="40" t="n">
        <v>0.58</v>
      </c>
      <c r="AI14" s="40" t="n">
        <v>7</v>
      </c>
      <c r="AJ14" s="40" t="n">
        <v>1</v>
      </c>
      <c r="AK14" s="40" t="n">
        <v>3</v>
      </c>
      <c r="AL14" s="40" t="n">
        <v>3</v>
      </c>
      <c r="AM14" s="40" t="n">
        <v>7</v>
      </c>
      <c r="AN14" s="40" t="n">
        <v>9</v>
      </c>
      <c r="AO14" s="40" t="n">
        <v>-2</v>
      </c>
      <c r="AP14" s="40" t="n">
        <v>6</v>
      </c>
      <c r="AQ14" s="40" t="n">
        <v>0.86</v>
      </c>
      <c r="AR14" s="40" t="n">
        <v>6.2</v>
      </c>
      <c r="AS14" s="40" t="n">
        <v>7.3</v>
      </c>
      <c r="AT14" s="40" t="n">
        <v>-1.1</v>
      </c>
      <c r="AU14" s="40" t="n">
        <v>-0.16</v>
      </c>
      <c r="AV14" s="40" t="n">
        <v>23</v>
      </c>
      <c r="AW14" s="40" t="n">
        <v>27.9</v>
      </c>
      <c r="AX14" s="40" t="n">
        <v>49.8</v>
      </c>
      <c r="AY14" s="40" t="n">
        <v>13</v>
      </c>
      <c r="AZ14" s="40" t="n">
        <v>143</v>
      </c>
      <c r="BA14" s="40" t="n">
        <v>1170</v>
      </c>
      <c r="BB14" s="40" t="n">
        <v>13</v>
      </c>
      <c r="BC14" s="40" t="n">
        <v>17</v>
      </c>
      <c r="BD14" s="40" t="n">
        <v>11</v>
      </c>
      <c r="BE14" s="40" t="n">
        <v>28</v>
      </c>
      <c r="BF14" s="40" t="n">
        <v>16</v>
      </c>
      <c r="BG14" s="40" t="n">
        <v>1</v>
      </c>
      <c r="BH14" s="40" t="n">
        <v>1</v>
      </c>
      <c r="BI14" s="40" t="n">
        <v>15</v>
      </c>
      <c r="BJ14" s="40" t="n">
        <v>2</v>
      </c>
      <c r="BK14" s="40" t="n">
        <v>16.9</v>
      </c>
      <c r="BL14" s="40" t="n">
        <v>16.1</v>
      </c>
      <c r="BM14" s="40" t="n">
        <v>13.3</v>
      </c>
      <c r="BN14" s="40" t="n">
        <v>29.4</v>
      </c>
      <c r="BO14" s="40" t="n">
        <v>203</v>
      </c>
      <c r="BP14" s="40" t="n">
        <v>578</v>
      </c>
      <c r="BQ14" s="40" t="n">
        <v>1.31</v>
      </c>
      <c r="BR14" s="40" t="n">
        <v>0.85</v>
      </c>
      <c r="BS14" s="40" t="n">
        <v>2.15</v>
      </c>
      <c r="BT14" s="40" t="n">
        <v>1.23</v>
      </c>
      <c r="BU14" s="40" t="n">
        <v>2.08</v>
      </c>
      <c r="BV14" s="40" t="n">
        <v>1.3</v>
      </c>
      <c r="BW14" s="40" t="n">
        <v>1.02</v>
      </c>
      <c r="BX14" s="40" t="n">
        <v>2.32</v>
      </c>
      <c r="BY14" s="40" t="n">
        <v>1.24</v>
      </c>
      <c r="BZ14" s="40" t="n">
        <v>2.26</v>
      </c>
      <c r="CA14" s="40" t="n">
        <v>23</v>
      </c>
      <c r="CB14" s="40" t="n">
        <v>13</v>
      </c>
      <c r="CC14" s="40" t="n">
        <v>17</v>
      </c>
      <c r="CD14" s="40" t="n">
        <v>152</v>
      </c>
      <c r="CE14" s="40" t="n">
        <v>51</v>
      </c>
      <c r="CF14" s="40" t="n">
        <v>33.6</v>
      </c>
      <c r="CG14" s="40" t="n">
        <v>11.69</v>
      </c>
      <c r="CH14" s="40" t="n">
        <v>3.92</v>
      </c>
      <c r="CI14" s="40" t="n">
        <v>0.11</v>
      </c>
      <c r="CJ14" s="40" t="n">
        <v>0.31</v>
      </c>
      <c r="CK14" s="40" t="n">
        <v>17.8</v>
      </c>
      <c r="CL14" s="40" t="n">
        <v>1</v>
      </c>
      <c r="CM14" s="40" t="n">
        <v>1</v>
      </c>
      <c r="CN14" s="40" t="n">
        <v>1</v>
      </c>
      <c r="CO14" s="40" t="n">
        <v>16.9</v>
      </c>
      <c r="CP14" s="40" t="n">
        <v>16.1</v>
      </c>
      <c r="CQ14" s="40" t="n">
        <v>0.11</v>
      </c>
      <c r="CR14" s="40" t="n">
        <v>0.1</v>
      </c>
      <c r="CS14" s="40" t="n">
        <v>-0.1</v>
      </c>
      <c r="CT14" s="40" t="n">
        <v>23</v>
      </c>
      <c r="CU14" s="40" t="n">
        <v>13</v>
      </c>
      <c r="CV14" s="40" t="n">
        <v>4944</v>
      </c>
      <c r="CW14" s="40" t="n">
        <v>6233</v>
      </c>
      <c r="CX14" s="40" t="n">
        <v>79.3</v>
      </c>
      <c r="CY14" s="40" t="n">
        <v>87069</v>
      </c>
      <c r="CZ14" s="40" t="n">
        <v>31918</v>
      </c>
      <c r="DA14" s="40" t="n">
        <v>2237</v>
      </c>
      <c r="DB14" s="40" t="n">
        <v>2536</v>
      </c>
      <c r="DC14" s="40" t="n">
        <v>88.2</v>
      </c>
      <c r="DD14" s="40" t="n">
        <v>2147</v>
      </c>
      <c r="DE14" s="40" t="n">
        <v>2492</v>
      </c>
      <c r="DF14" s="40" t="n">
        <v>86.2</v>
      </c>
      <c r="DG14" s="40" t="n">
        <v>452</v>
      </c>
      <c r="DH14" s="40" t="n">
        <v>922</v>
      </c>
      <c r="DI14" s="40" t="n">
        <v>49</v>
      </c>
      <c r="DJ14" s="40" t="n">
        <v>11</v>
      </c>
      <c r="DK14" s="40" t="n">
        <v>13.3</v>
      </c>
      <c r="DL14" s="40" t="n">
        <v>11.2</v>
      </c>
      <c r="DM14" s="40" t="n">
        <v>-2.3</v>
      </c>
      <c r="DN14" s="40" t="n">
        <v>121</v>
      </c>
      <c r="DO14" s="40" t="n">
        <v>428</v>
      </c>
      <c r="DP14" s="40" t="n">
        <v>105</v>
      </c>
      <c r="DQ14" s="40" t="n">
        <v>29</v>
      </c>
      <c r="DR14" s="40" t="n">
        <v>578</v>
      </c>
      <c r="DS14" s="40" t="n">
        <v>23</v>
      </c>
      <c r="DT14" s="40" t="n">
        <v>13</v>
      </c>
      <c r="DU14" s="40" t="n">
        <v>6233</v>
      </c>
      <c r="DV14" s="40" t="n">
        <v>5617</v>
      </c>
      <c r="DW14" s="40" t="n">
        <v>607</v>
      </c>
      <c r="DX14" s="40" t="n">
        <v>157</v>
      </c>
      <c r="DY14" s="40" t="n">
        <v>21</v>
      </c>
      <c r="DZ14" s="40" t="n">
        <v>35</v>
      </c>
      <c r="EA14" s="40" t="n">
        <v>271</v>
      </c>
      <c r="EB14" s="40" t="n">
        <v>267</v>
      </c>
      <c r="EC14" s="40" t="n">
        <v>72</v>
      </c>
      <c r="ED14" s="40" t="n">
        <v>36</v>
      </c>
      <c r="EE14" s="40" t="n">
        <v>27</v>
      </c>
      <c r="EF14" s="40" t="n">
        <v>2</v>
      </c>
      <c r="EG14" s="40" t="n">
        <v>4944</v>
      </c>
      <c r="EH14" s="40" t="n">
        <v>9</v>
      </c>
      <c r="EI14" s="40" t="n">
        <v>112</v>
      </c>
      <c r="EJ14" s="40" t="n">
        <v>23</v>
      </c>
      <c r="EK14" s="40" t="n">
        <v>13</v>
      </c>
      <c r="EL14" s="40" t="n">
        <v>171</v>
      </c>
      <c r="EM14" s="40" t="n">
        <v>113</v>
      </c>
      <c r="EN14" s="40" t="n">
        <v>79</v>
      </c>
      <c r="EO14" s="40" t="n">
        <v>76</v>
      </c>
      <c r="EP14" s="40" t="n">
        <v>16</v>
      </c>
      <c r="EQ14" s="40" t="n">
        <v>84</v>
      </c>
      <c r="ER14" s="40" t="n">
        <v>185</v>
      </c>
      <c r="ES14" s="40" t="n">
        <v>45.4</v>
      </c>
      <c r="ET14" s="40" t="n">
        <v>101</v>
      </c>
      <c r="EU14" s="40" t="n">
        <v>129</v>
      </c>
      <c r="EV14" s="40" t="n">
        <v>39</v>
      </c>
      <c r="EW14" s="40" t="n">
        <v>90</v>
      </c>
      <c r="EX14" s="40" t="n">
        <v>97</v>
      </c>
      <c r="EY14" s="40" t="n">
        <v>268</v>
      </c>
      <c r="EZ14" s="40" t="n">
        <v>353</v>
      </c>
      <c r="FA14" s="40" t="n">
        <v>10</v>
      </c>
      <c r="FB14" s="40" t="n">
        <v>23</v>
      </c>
      <c r="FC14" s="40" t="n">
        <v>49.8</v>
      </c>
      <c r="FD14" s="40" t="n">
        <v>13</v>
      </c>
      <c r="FE14" s="40" t="n">
        <v>7706</v>
      </c>
      <c r="FF14" s="40" t="n">
        <v>791</v>
      </c>
      <c r="FG14" s="40" t="n">
        <v>2422</v>
      </c>
      <c r="FH14" s="40" t="n">
        <v>3404</v>
      </c>
      <c r="FI14" s="40" t="n">
        <v>1953</v>
      </c>
      <c r="FJ14" s="40" t="n">
        <v>296</v>
      </c>
      <c r="FK14" s="40" t="n">
        <v>7705</v>
      </c>
      <c r="FL14" s="40" t="n">
        <v>208</v>
      </c>
      <c r="FM14" s="40" t="n">
        <v>79</v>
      </c>
      <c r="FN14" s="40" t="n">
        <v>38</v>
      </c>
      <c r="FO14" s="40" t="n">
        <v>101</v>
      </c>
      <c r="FP14" s="40" t="n">
        <v>48.6</v>
      </c>
      <c r="FQ14" s="40" t="n">
        <v>4459</v>
      </c>
      <c r="FR14" s="40" t="n">
        <v>20612</v>
      </c>
      <c r="FS14" s="40" t="n">
        <v>10028</v>
      </c>
      <c r="FT14" s="40" t="n">
        <v>203</v>
      </c>
      <c r="FU14" s="40" t="n">
        <v>130</v>
      </c>
      <c r="FV14" s="40" t="n">
        <v>54</v>
      </c>
      <c r="FW14" s="40" t="n">
        <v>193</v>
      </c>
      <c r="FX14" s="40" t="n">
        <v>108</v>
      </c>
      <c r="FY14" s="40" t="n">
        <v>4912</v>
      </c>
      <c r="FZ14" s="40" t="n">
        <v>572</v>
      </c>
      <c r="GA14" s="40" t="n">
        <v>23</v>
      </c>
      <c r="GB14" s="40" t="n">
        <v>27.9</v>
      </c>
      <c r="GC14" s="40" t="n">
        <v>13</v>
      </c>
      <c r="GD14" s="40" t="n">
        <v>1170</v>
      </c>
      <c r="GE14" s="40" t="n">
        <v>90</v>
      </c>
      <c r="GF14" s="40" t="n">
        <v>100</v>
      </c>
      <c r="GG14" s="40" t="n">
        <v>13</v>
      </c>
      <c r="GH14" s="40" t="n">
        <v>143</v>
      </c>
      <c r="GI14" s="40" t="n">
        <v>82</v>
      </c>
      <c r="GJ14" s="40" t="n">
        <v>83</v>
      </c>
      <c r="GK14" s="40" t="n">
        <v>58</v>
      </c>
      <c r="GL14" s="40" t="n">
        <v>19</v>
      </c>
      <c r="GM14" s="40" t="n">
        <v>59</v>
      </c>
      <c r="GN14" s="40" t="n">
        <v>1.38</v>
      </c>
      <c r="GO14" s="40" t="n">
        <v>17</v>
      </c>
      <c r="GP14" s="40" t="n">
        <v>16</v>
      </c>
      <c r="GQ14" s="40" t="n">
        <v>1</v>
      </c>
      <c r="GR14" s="40" t="n">
        <v>0.08</v>
      </c>
      <c r="GS14" s="40" t="n">
        <v>16.9</v>
      </c>
      <c r="GT14" s="40" t="n">
        <v>14.5</v>
      </c>
      <c r="GU14" s="40" t="n">
        <v>2.3</v>
      </c>
      <c r="GV14" s="40" t="n">
        <v>0.18</v>
      </c>
      <c r="GW14" s="40" t="n">
        <v>23</v>
      </c>
      <c r="GX14" s="40" t="n">
        <v>13</v>
      </c>
      <c r="GY14" s="40" t="n">
        <v>15</v>
      </c>
      <c r="GZ14" s="40" t="n">
        <v>2</v>
      </c>
      <c r="HA14" s="40" t="n">
        <v>1</v>
      </c>
      <c r="HB14" s="40" t="n">
        <v>149</v>
      </c>
      <c r="HC14" s="40" t="n">
        <v>135</v>
      </c>
      <c r="HD14" s="40" t="n">
        <v>9</v>
      </c>
      <c r="HE14" s="40" t="n">
        <v>271</v>
      </c>
      <c r="HF14" s="40" t="n">
        <v>97</v>
      </c>
      <c r="HG14" s="40" t="n">
        <v>113</v>
      </c>
      <c r="HH14" s="40" t="n">
        <v>1</v>
      </c>
      <c r="HI14" s="40" t="n">
        <v>1</v>
      </c>
      <c r="HJ14" s="40" t="n">
        <v>1</v>
      </c>
      <c r="HK14" s="40" t="n">
        <v>523</v>
      </c>
      <c r="HL14" s="40" t="n">
        <v>206</v>
      </c>
      <c r="HM14" s="40" t="n">
        <v>175</v>
      </c>
      <c r="HN14" s="40" t="n">
        <v>54.1</v>
      </c>
      <c r="HO14" s="40" t="n">
        <v>2</v>
      </c>
      <c r="HP14" s="40" t="n">
        <v>13</v>
      </c>
      <c r="HQ14" s="40" t="n">
        <v>13</v>
      </c>
      <c r="HR14" s="40" t="n">
        <v>1170</v>
      </c>
      <c r="HS14" s="40" t="n">
        <v>13</v>
      </c>
      <c r="HT14" s="40" t="n">
        <v>16</v>
      </c>
      <c r="HU14" s="40" t="n">
        <v>1.23</v>
      </c>
      <c r="HV14" s="40" t="n">
        <v>56</v>
      </c>
      <c r="HW14" s="40" t="n">
        <v>41</v>
      </c>
      <c r="HX14" s="40" t="n">
        <v>73.2</v>
      </c>
      <c r="HY14" s="40" t="n">
        <v>5</v>
      </c>
      <c r="HZ14" s="40" t="n">
        <v>3</v>
      </c>
      <c r="IA14" s="40" t="n">
        <v>5</v>
      </c>
      <c r="IB14" s="40" t="n">
        <v>5</v>
      </c>
      <c r="IC14" s="40" t="n">
        <v>38.5</v>
      </c>
      <c r="ID14" s="40" t="n">
        <v>1</v>
      </c>
      <c r="IE14" s="40" t="n">
        <v>1</v>
      </c>
      <c r="IF14" s="40" t="n">
        <v>0</v>
      </c>
      <c r="IG14" s="40" t="n">
        <v>0</v>
      </c>
      <c r="IH14" s="40" t="n">
        <v>0</v>
      </c>
      <c r="II14" s="40" t="n">
        <v>2</v>
      </c>
      <c r="IJ14" s="40" t="n">
        <v>13</v>
      </c>
      <c r="IK14" s="40" t="n">
        <v>16</v>
      </c>
      <c r="IL14" s="40" t="n">
        <v>1</v>
      </c>
      <c r="IM14" s="40" t="n">
        <v>0</v>
      </c>
      <c r="IN14" s="40" t="n">
        <v>3</v>
      </c>
      <c r="IO14" s="40" t="n">
        <v>1</v>
      </c>
      <c r="IP14" s="40" t="n">
        <v>15.5</v>
      </c>
      <c r="IQ14" s="40" t="n">
        <v>0.28</v>
      </c>
      <c r="IR14" s="40" t="n">
        <v>0.5</v>
      </c>
      <c r="IS14" s="40" t="n">
        <v>0.04</v>
      </c>
      <c r="IT14" s="40" t="n">
        <v>36</v>
      </c>
      <c r="IU14" s="40" t="n">
        <v>147</v>
      </c>
      <c r="IV14" s="40" t="n">
        <v>24.5</v>
      </c>
      <c r="IW14" s="40" t="n">
        <v>300</v>
      </c>
      <c r="IX14" s="40" t="n">
        <v>93</v>
      </c>
      <c r="IY14" s="40" t="n">
        <v>30.7</v>
      </c>
      <c r="IZ14" s="40" t="n">
        <v>32.6</v>
      </c>
      <c r="JA14" s="40" t="n">
        <v>81</v>
      </c>
      <c r="JB14" s="40" t="n">
        <v>67.90000000000001</v>
      </c>
      <c r="JC14" s="40" t="n">
        <v>50.1</v>
      </c>
      <c r="JD14" s="40" t="n">
        <v>170</v>
      </c>
      <c r="JE14" s="40" t="n">
        <v>23</v>
      </c>
      <c r="JF14" s="40" t="n">
        <v>13.5</v>
      </c>
      <c r="JG14" s="40" t="n">
        <v>36</v>
      </c>
      <c r="JH14" s="40" t="n">
        <v>2.77</v>
      </c>
      <c r="JI14" s="40" t="n">
        <v>17.3</v>
      </c>
      <c r="JJ14" s="40" t="n">
        <v>13</v>
      </c>
      <c r="JK14" s="40" t="n">
        <v>16.9</v>
      </c>
      <c r="JL14" s="40" t="n">
        <v>49.8</v>
      </c>
      <c r="JM14" s="40" t="n">
        <v>152</v>
      </c>
      <c r="JN14" s="40" t="n">
        <v>51</v>
      </c>
      <c r="JO14" s="40" t="n">
        <v>33.6</v>
      </c>
      <c r="JP14" s="40" t="n">
        <v>16.1</v>
      </c>
      <c r="JQ14" s="40" t="n">
        <v>4944</v>
      </c>
      <c r="JR14" s="40" t="n">
        <v>6233</v>
      </c>
      <c r="JS14" s="40" t="n">
        <v>79.3</v>
      </c>
      <c r="JT14" s="40" t="n">
        <v>171</v>
      </c>
      <c r="JU14" s="40" t="n">
        <v>113</v>
      </c>
      <c r="JV14" s="40" t="n">
        <v>97</v>
      </c>
      <c r="JW14" s="40" t="n">
        <v>353</v>
      </c>
      <c r="JX14" s="40" t="n">
        <v>149</v>
      </c>
      <c r="JY14" s="40" t="n">
        <v>135</v>
      </c>
      <c r="JZ14" s="40" t="n">
        <v>15</v>
      </c>
      <c r="KA14" s="40" t="n">
        <v>2</v>
      </c>
      <c r="KB14" s="40" t="n">
        <v>38.4615384615</v>
      </c>
      <c r="KC14" s="40" t="n">
        <v>33.5526315789</v>
      </c>
      <c r="KD14" s="40" t="n">
        <v>79.3</v>
      </c>
      <c r="KE14" s="40" t="n">
        <v>66.081871345</v>
      </c>
    </row>
    <row r="15">
      <c r="A15" s="40" t="inlineStr">
        <is>
          <t>Everton</t>
        </is>
      </c>
      <c r="B15" s="40" t="n">
        <v>14</v>
      </c>
      <c r="C15" s="40" t="n">
        <v>13</v>
      </c>
      <c r="D15" s="40" t="n">
        <v>5</v>
      </c>
      <c r="E15" s="40" t="n">
        <v>3</v>
      </c>
      <c r="F15" s="40" t="n">
        <v>5</v>
      </c>
      <c r="G15" s="40" t="n">
        <v>14</v>
      </c>
      <c r="H15" s="40" t="n">
        <v>17</v>
      </c>
      <c r="I15" s="40" t="n">
        <v>-3</v>
      </c>
      <c r="J15" s="40" t="n">
        <v>18</v>
      </c>
      <c r="K15" s="40" t="n">
        <v>1.38</v>
      </c>
      <c r="L15" s="40" t="n">
        <v>16</v>
      </c>
      <c r="M15" s="40" t="n">
        <v>18.7</v>
      </c>
      <c r="N15" s="40" t="n">
        <v>-2.7</v>
      </c>
      <c r="O15" s="40" t="n">
        <v>-0.21</v>
      </c>
      <c r="P15" s="40" t="inlineStr">
        <is>
          <t>L D W W L</t>
        </is>
      </c>
      <c r="Q15" s="40" t="n">
        <v>51968</v>
      </c>
      <c r="R15" s="40" t="inlineStr">
        <is>
          <t>Iliman Ndiaye - 4</t>
        </is>
      </c>
      <c r="S15" s="40" t="inlineStr">
        <is>
          <t>Jordan Pickford</t>
        </is>
      </c>
      <c r="T15" s="40" t="n">
        <v/>
      </c>
      <c r="U15" s="40" t="n">
        <v>14</v>
      </c>
      <c r="V15" s="40" t="n">
        <v>7</v>
      </c>
      <c r="W15" s="40" t="n">
        <v>3</v>
      </c>
      <c r="X15" s="40" t="n">
        <v>2</v>
      </c>
      <c r="Y15" s="40" t="n">
        <v>2</v>
      </c>
      <c r="Z15" s="40" t="n">
        <v>8</v>
      </c>
      <c r="AA15" s="40" t="n">
        <v>9</v>
      </c>
      <c r="AB15" s="40" t="n">
        <v>-1</v>
      </c>
      <c r="AC15" s="40" t="n">
        <v>11</v>
      </c>
      <c r="AD15" s="40" t="n">
        <v>1.57</v>
      </c>
      <c r="AE15" s="40" t="n">
        <v>10.4</v>
      </c>
      <c r="AF15" s="40" t="n">
        <v>9.4</v>
      </c>
      <c r="AG15" s="40" t="n">
        <v>1</v>
      </c>
      <c r="AH15" s="40" t="n">
        <v>0.14</v>
      </c>
      <c r="AI15" s="40" t="n">
        <v>6</v>
      </c>
      <c r="AJ15" s="40" t="n">
        <v>2</v>
      </c>
      <c r="AK15" s="40" t="n">
        <v>1</v>
      </c>
      <c r="AL15" s="40" t="n">
        <v>3</v>
      </c>
      <c r="AM15" s="40" t="n">
        <v>6</v>
      </c>
      <c r="AN15" s="40" t="n">
        <v>8</v>
      </c>
      <c r="AO15" s="40" t="n">
        <v>-2</v>
      </c>
      <c r="AP15" s="40" t="n">
        <v>7</v>
      </c>
      <c r="AQ15" s="40" t="n">
        <v>1.17</v>
      </c>
      <c r="AR15" s="40" t="n">
        <v>5.6</v>
      </c>
      <c r="AS15" s="40" t="n">
        <v>9.300000000000001</v>
      </c>
      <c r="AT15" s="40" t="n">
        <v>-3.7</v>
      </c>
      <c r="AU15" s="40" t="n">
        <v>-0.62</v>
      </c>
      <c r="AV15" s="40" t="n">
        <v>19</v>
      </c>
      <c r="AW15" s="40" t="n">
        <v>28.5</v>
      </c>
      <c r="AX15" s="40" t="n">
        <v>44.4</v>
      </c>
      <c r="AY15" s="40" t="n">
        <v>13</v>
      </c>
      <c r="AZ15" s="40" t="n">
        <v>143</v>
      </c>
      <c r="BA15" s="40" t="n">
        <v>1170</v>
      </c>
      <c r="BB15" s="40" t="n">
        <v>13</v>
      </c>
      <c r="BC15" s="40" t="n">
        <v>14</v>
      </c>
      <c r="BD15" s="40" t="n">
        <v>11</v>
      </c>
      <c r="BE15" s="40" t="n">
        <v>25</v>
      </c>
      <c r="BF15" s="40" t="n">
        <v>13</v>
      </c>
      <c r="BG15" s="40" t="n">
        <v>1</v>
      </c>
      <c r="BH15" s="40" t="n">
        <v>1</v>
      </c>
      <c r="BI15" s="40" t="n">
        <v>26</v>
      </c>
      <c r="BJ15" s="40" t="n">
        <v>1</v>
      </c>
      <c r="BK15" s="40" t="n">
        <v>16</v>
      </c>
      <c r="BL15" s="40" t="n">
        <v>15.2</v>
      </c>
      <c r="BM15" s="40" t="n">
        <v>12.3</v>
      </c>
      <c r="BN15" s="40" t="n">
        <v>27.4</v>
      </c>
      <c r="BO15" s="40" t="n">
        <v>189</v>
      </c>
      <c r="BP15" s="40" t="n">
        <v>439</v>
      </c>
      <c r="BQ15" s="40" t="n">
        <v>1.08</v>
      </c>
      <c r="BR15" s="40" t="n">
        <v>0.85</v>
      </c>
      <c r="BS15" s="40" t="n">
        <v>1.92</v>
      </c>
      <c r="BT15" s="40" t="n">
        <v>1</v>
      </c>
      <c r="BU15" s="40" t="n">
        <v>1.85</v>
      </c>
      <c r="BV15" s="40" t="n">
        <v>1.23</v>
      </c>
      <c r="BW15" s="40" t="n">
        <v>0.9399999999999999</v>
      </c>
      <c r="BX15" s="40" t="n">
        <v>2.17</v>
      </c>
      <c r="BY15" s="40" t="n">
        <v>1.17</v>
      </c>
      <c r="BZ15" s="40" t="n">
        <v>2.11</v>
      </c>
      <c r="CA15" s="40" t="n">
        <v>19</v>
      </c>
      <c r="CB15" s="40" t="n">
        <v>13</v>
      </c>
      <c r="CC15" s="40" t="n">
        <v>14</v>
      </c>
      <c r="CD15" s="40" t="n">
        <v>134</v>
      </c>
      <c r="CE15" s="40" t="n">
        <v>37</v>
      </c>
      <c r="CF15" s="40" t="n">
        <v>27.6</v>
      </c>
      <c r="CG15" s="40" t="n">
        <v>10.31</v>
      </c>
      <c r="CH15" s="40" t="n">
        <v>2.85</v>
      </c>
      <c r="CI15" s="40" t="n">
        <v>0.1</v>
      </c>
      <c r="CJ15" s="40" t="n">
        <v>0.35</v>
      </c>
      <c r="CK15" s="40" t="n">
        <v>16.3</v>
      </c>
      <c r="CL15" s="40" t="n">
        <v>6</v>
      </c>
      <c r="CM15" s="40" t="n">
        <v>1</v>
      </c>
      <c r="CN15" s="40" t="n">
        <v>1</v>
      </c>
      <c r="CO15" s="40" t="n">
        <v>16</v>
      </c>
      <c r="CP15" s="40" t="n">
        <v>15.2</v>
      </c>
      <c r="CQ15" s="40" t="n">
        <v>0.12</v>
      </c>
      <c r="CR15" s="40" t="n">
        <v>-2</v>
      </c>
      <c r="CS15" s="40" t="n">
        <v>-2.2</v>
      </c>
      <c r="CT15" s="40" t="n">
        <v>19</v>
      </c>
      <c r="CU15" s="40" t="n">
        <v>13</v>
      </c>
      <c r="CV15" s="40" t="n">
        <v>4277</v>
      </c>
      <c r="CW15" s="40" t="n">
        <v>5550</v>
      </c>
      <c r="CX15" s="40" t="n">
        <v>77.09999999999999</v>
      </c>
      <c r="CY15" s="40" t="n">
        <v>79237</v>
      </c>
      <c r="CZ15" s="40" t="n">
        <v>28501</v>
      </c>
      <c r="DA15" s="40" t="n">
        <v>1810</v>
      </c>
      <c r="DB15" s="40" t="n">
        <v>2062</v>
      </c>
      <c r="DC15" s="40" t="n">
        <v>87.8</v>
      </c>
      <c r="DD15" s="40" t="n">
        <v>1942</v>
      </c>
      <c r="DE15" s="40" t="n">
        <v>2285</v>
      </c>
      <c r="DF15" s="40" t="n">
        <v>85</v>
      </c>
      <c r="DG15" s="40" t="n">
        <v>454</v>
      </c>
      <c r="DH15" s="40" t="n">
        <v>929</v>
      </c>
      <c r="DI15" s="40" t="n">
        <v>48.9</v>
      </c>
      <c r="DJ15" s="40" t="n">
        <v>11</v>
      </c>
      <c r="DK15" s="40" t="n">
        <v>12.3</v>
      </c>
      <c r="DL15" s="40" t="n">
        <v>12.2</v>
      </c>
      <c r="DM15" s="40" t="n">
        <v>-1.3</v>
      </c>
      <c r="DN15" s="40" t="n">
        <v>101</v>
      </c>
      <c r="DO15" s="40" t="n">
        <v>363</v>
      </c>
      <c r="DP15" s="40" t="n">
        <v>101</v>
      </c>
      <c r="DQ15" s="40" t="n">
        <v>26</v>
      </c>
      <c r="DR15" s="40" t="n">
        <v>439</v>
      </c>
      <c r="DS15" s="40" t="n">
        <v>19</v>
      </c>
      <c r="DT15" s="40" t="n">
        <v>13</v>
      </c>
      <c r="DU15" s="40" t="n">
        <v>5550</v>
      </c>
      <c r="DV15" s="40" t="n">
        <v>4925</v>
      </c>
      <c r="DW15" s="40" t="n">
        <v>609</v>
      </c>
      <c r="DX15" s="40" t="n">
        <v>166</v>
      </c>
      <c r="DY15" s="40" t="n">
        <v>28</v>
      </c>
      <c r="DZ15" s="40" t="n">
        <v>34</v>
      </c>
      <c r="EA15" s="40" t="n">
        <v>227</v>
      </c>
      <c r="EB15" s="40" t="n">
        <v>259</v>
      </c>
      <c r="EC15" s="40" t="n">
        <v>54</v>
      </c>
      <c r="ED15" s="40" t="n">
        <v>42</v>
      </c>
      <c r="EE15" s="40" t="n">
        <v>3</v>
      </c>
      <c r="EF15" s="40" t="n">
        <v>1</v>
      </c>
      <c r="EG15" s="40" t="n">
        <v>4277</v>
      </c>
      <c r="EH15" s="40" t="n">
        <v>16</v>
      </c>
      <c r="EI15" s="40" t="n">
        <v>104</v>
      </c>
      <c r="EJ15" s="40" t="n">
        <v>19</v>
      </c>
      <c r="EK15" s="40" t="n">
        <v>13</v>
      </c>
      <c r="EL15" s="40" t="n">
        <v>209</v>
      </c>
      <c r="EM15" s="40" t="n">
        <v>128</v>
      </c>
      <c r="EN15" s="40" t="n">
        <v>103</v>
      </c>
      <c r="EO15" s="40" t="n">
        <v>76</v>
      </c>
      <c r="EP15" s="40" t="n">
        <v>30</v>
      </c>
      <c r="EQ15" s="40" t="n">
        <v>109</v>
      </c>
      <c r="ER15" s="40" t="n">
        <v>192</v>
      </c>
      <c r="ES15" s="40" t="n">
        <v>56.8</v>
      </c>
      <c r="ET15" s="40" t="n">
        <v>83</v>
      </c>
      <c r="EU15" s="40" t="n">
        <v>167</v>
      </c>
      <c r="EV15" s="40" t="n">
        <v>66</v>
      </c>
      <c r="EW15" s="40" t="n">
        <v>101</v>
      </c>
      <c r="EX15" s="40" t="n">
        <v>102</v>
      </c>
      <c r="EY15" s="40" t="n">
        <v>311</v>
      </c>
      <c r="EZ15" s="40" t="n">
        <v>401</v>
      </c>
      <c r="FA15" s="40" t="n">
        <v>15</v>
      </c>
      <c r="FB15" s="40" t="n">
        <v>19</v>
      </c>
      <c r="FC15" s="40" t="n">
        <v>44.4</v>
      </c>
      <c r="FD15" s="40" t="n">
        <v>13</v>
      </c>
      <c r="FE15" s="40" t="n">
        <v>7117</v>
      </c>
      <c r="FF15" s="40" t="n">
        <v>833</v>
      </c>
      <c r="FG15" s="40" t="n">
        <v>2352</v>
      </c>
      <c r="FH15" s="40" t="n">
        <v>2887</v>
      </c>
      <c r="FI15" s="40" t="n">
        <v>1947</v>
      </c>
      <c r="FJ15" s="40" t="n">
        <v>302</v>
      </c>
      <c r="FK15" s="40" t="n">
        <v>7116</v>
      </c>
      <c r="FL15" s="40" t="n">
        <v>238</v>
      </c>
      <c r="FM15" s="40" t="n">
        <v>86</v>
      </c>
      <c r="FN15" s="40" t="n">
        <v>36.1</v>
      </c>
      <c r="FO15" s="40" t="n">
        <v>119</v>
      </c>
      <c r="FP15" s="40" t="n">
        <v>50</v>
      </c>
      <c r="FQ15" s="40" t="n">
        <v>3941</v>
      </c>
      <c r="FR15" s="40" t="n">
        <v>19174</v>
      </c>
      <c r="FS15" s="40" t="n">
        <v>9231</v>
      </c>
      <c r="FT15" s="40" t="n">
        <v>189</v>
      </c>
      <c r="FU15" s="40" t="n">
        <v>159</v>
      </c>
      <c r="FV15" s="40" t="n">
        <v>57</v>
      </c>
      <c r="FW15" s="40" t="n">
        <v>212</v>
      </c>
      <c r="FX15" s="40" t="n">
        <v>113</v>
      </c>
      <c r="FY15" s="40" t="n">
        <v>4240</v>
      </c>
      <c r="FZ15" s="40" t="n">
        <v>430</v>
      </c>
      <c r="GA15" s="40" t="n">
        <v>19</v>
      </c>
      <c r="GB15" s="40" t="n">
        <v>28.5</v>
      </c>
      <c r="GC15" s="40" t="n">
        <v>13</v>
      </c>
      <c r="GD15" s="40" t="n">
        <v>1170</v>
      </c>
      <c r="GE15" s="40" t="n">
        <v>90</v>
      </c>
      <c r="GF15" s="40" t="n">
        <v>100</v>
      </c>
      <c r="GG15" s="40" t="n">
        <v>13</v>
      </c>
      <c r="GH15" s="40" t="n">
        <v>143</v>
      </c>
      <c r="GI15" s="40" t="n">
        <v>84</v>
      </c>
      <c r="GJ15" s="40" t="n">
        <v>97</v>
      </c>
      <c r="GK15" s="40" t="n">
        <v>45</v>
      </c>
      <c r="GL15" s="40" t="n">
        <v>18</v>
      </c>
      <c r="GM15" s="40" t="n">
        <v>72</v>
      </c>
      <c r="GN15" s="40" t="n">
        <v>1.38</v>
      </c>
      <c r="GO15" s="40" t="n">
        <v>14</v>
      </c>
      <c r="GP15" s="40" t="n">
        <v>17</v>
      </c>
      <c r="GQ15" s="40" t="n">
        <v>-3</v>
      </c>
      <c r="GR15" s="40" t="n">
        <v>-0.23</v>
      </c>
      <c r="GS15" s="40" t="n">
        <v>16</v>
      </c>
      <c r="GT15" s="40" t="n">
        <v>18.7</v>
      </c>
      <c r="GU15" s="40" t="n">
        <v>-2.7</v>
      </c>
      <c r="GV15" s="40" t="n">
        <v>-0.21</v>
      </c>
      <c r="GW15" s="40" t="n">
        <v>19</v>
      </c>
      <c r="GX15" s="40" t="n">
        <v>13</v>
      </c>
      <c r="GY15" s="40" t="n">
        <v>26</v>
      </c>
      <c r="GZ15" s="40" t="n">
        <v>1</v>
      </c>
      <c r="HA15" s="40" t="n">
        <v>0</v>
      </c>
      <c r="HB15" s="40" t="n">
        <v>131</v>
      </c>
      <c r="HC15" s="40" t="n">
        <v>147</v>
      </c>
      <c r="HD15" s="40" t="n">
        <v>16</v>
      </c>
      <c r="HE15" s="40" t="n">
        <v>227</v>
      </c>
      <c r="HF15" s="40" t="n">
        <v>102</v>
      </c>
      <c r="HG15" s="40" t="n">
        <v>128</v>
      </c>
      <c r="HH15" s="40" t="n">
        <v>1</v>
      </c>
      <c r="HI15" s="40" t="n">
        <v>2</v>
      </c>
      <c r="HJ15" s="40" t="n">
        <v>0</v>
      </c>
      <c r="HK15" s="40" t="n">
        <v>511</v>
      </c>
      <c r="HL15" s="40" t="n">
        <v>272</v>
      </c>
      <c r="HM15" s="40" t="n">
        <v>227</v>
      </c>
      <c r="HN15" s="40" t="n">
        <v>54.5</v>
      </c>
      <c r="HO15" s="40" t="n">
        <v>1</v>
      </c>
      <c r="HP15" s="40" t="n">
        <v>13</v>
      </c>
      <c r="HQ15" s="40" t="n">
        <v>13</v>
      </c>
      <c r="HR15" s="40" t="n">
        <v>1170</v>
      </c>
      <c r="HS15" s="40" t="n">
        <v>13</v>
      </c>
      <c r="HT15" s="40" t="n">
        <v>17</v>
      </c>
      <c r="HU15" s="40" t="n">
        <v>1.31</v>
      </c>
      <c r="HV15" s="40" t="n">
        <v>55</v>
      </c>
      <c r="HW15" s="40" t="n">
        <v>37</v>
      </c>
      <c r="HX15" s="40" t="n">
        <v>70.90000000000001</v>
      </c>
      <c r="HY15" s="40" t="n">
        <v>5</v>
      </c>
      <c r="HZ15" s="40" t="n">
        <v>3</v>
      </c>
      <c r="IA15" s="40" t="n">
        <v>5</v>
      </c>
      <c r="IB15" s="40" t="n">
        <v>4</v>
      </c>
      <c r="IC15" s="40" t="n">
        <v>30.8</v>
      </c>
      <c r="ID15" s="40" t="n">
        <v>2</v>
      </c>
      <c r="IE15" s="40" t="n">
        <v>1</v>
      </c>
      <c r="IF15" s="40" t="n">
        <v>1</v>
      </c>
      <c r="IG15" s="40" t="n">
        <v>0</v>
      </c>
      <c r="IH15" s="40" t="n">
        <v>50</v>
      </c>
      <c r="II15" s="40" t="n">
        <v>1</v>
      </c>
      <c r="IJ15" s="40" t="n">
        <v>13</v>
      </c>
      <c r="IK15" s="40" t="n">
        <v>17</v>
      </c>
      <c r="IL15" s="40" t="n">
        <v>1</v>
      </c>
      <c r="IM15" s="40" t="n">
        <v>0</v>
      </c>
      <c r="IN15" s="40" t="n">
        <v>4</v>
      </c>
      <c r="IO15" s="40" t="n">
        <v>0</v>
      </c>
      <c r="IP15" s="40" t="n">
        <v>18.8</v>
      </c>
      <c r="IQ15" s="40" t="n">
        <v>0.32</v>
      </c>
      <c r="IR15" s="40" t="n">
        <v>1.8</v>
      </c>
      <c r="IS15" s="40" t="n">
        <v>0.14</v>
      </c>
      <c r="IT15" s="40" t="n">
        <v>105</v>
      </c>
      <c r="IU15" s="40" t="n">
        <v>283</v>
      </c>
      <c r="IV15" s="40" t="n">
        <v>37.1</v>
      </c>
      <c r="IW15" s="40" t="n">
        <v>420</v>
      </c>
      <c r="IX15" s="40" t="n">
        <v>40</v>
      </c>
      <c r="IY15" s="40" t="n">
        <v>53.8</v>
      </c>
      <c r="IZ15" s="40" t="n">
        <v>40</v>
      </c>
      <c r="JA15" s="40" t="n">
        <v>100</v>
      </c>
      <c r="JB15" s="40" t="n">
        <v>57</v>
      </c>
      <c r="JC15" s="40" t="n">
        <v>42.7</v>
      </c>
      <c r="JD15" s="40" t="n">
        <v>178</v>
      </c>
      <c r="JE15" s="40" t="n">
        <v>4</v>
      </c>
      <c r="JF15" s="40" t="n">
        <v>2.2</v>
      </c>
      <c r="JG15" s="40" t="n">
        <v>29</v>
      </c>
      <c r="JH15" s="40" t="n">
        <v>2.23</v>
      </c>
      <c r="JI15" s="40" t="n">
        <v>17.2</v>
      </c>
      <c r="JJ15" s="40" t="n">
        <v>13</v>
      </c>
      <c r="JK15" s="40" t="n">
        <v>16</v>
      </c>
      <c r="JL15" s="40" t="n">
        <v>44.4</v>
      </c>
      <c r="JM15" s="40" t="n">
        <v>134</v>
      </c>
      <c r="JN15" s="40" t="n">
        <v>37</v>
      </c>
      <c r="JO15" s="40" t="n">
        <v>27.6</v>
      </c>
      <c r="JP15" s="40" t="n">
        <v>15.2</v>
      </c>
      <c r="JQ15" s="40" t="n">
        <v>4277</v>
      </c>
      <c r="JR15" s="40" t="n">
        <v>5550</v>
      </c>
      <c r="JS15" s="40" t="n">
        <v>77.09999999999999</v>
      </c>
      <c r="JT15" s="40" t="n">
        <v>209</v>
      </c>
      <c r="JU15" s="40" t="n">
        <v>128</v>
      </c>
      <c r="JV15" s="40" t="n">
        <v>102</v>
      </c>
      <c r="JW15" s="40" t="n">
        <v>401</v>
      </c>
      <c r="JX15" s="40" t="n">
        <v>131</v>
      </c>
      <c r="JY15" s="40" t="n">
        <v>147</v>
      </c>
      <c r="JZ15" s="40" t="n">
        <v>26</v>
      </c>
      <c r="KA15" s="40" t="n">
        <v>1</v>
      </c>
      <c r="KB15" s="40" t="n">
        <v>30.7692307692</v>
      </c>
      <c r="KC15" s="40" t="n">
        <v>27.6119402985</v>
      </c>
      <c r="KD15" s="40" t="n">
        <v>77.09999999999999</v>
      </c>
      <c r="KE15" s="40" t="n">
        <v>61.2440191388</v>
      </c>
    </row>
    <row r="16">
      <c r="A16" s="40" t="inlineStr">
        <is>
          <t>Fulham</t>
        </is>
      </c>
      <c r="B16" s="40" t="n">
        <v>15</v>
      </c>
      <c r="C16" s="40" t="n">
        <v>13</v>
      </c>
      <c r="D16" s="40" t="n">
        <v>5</v>
      </c>
      <c r="E16" s="40" t="n">
        <v>2</v>
      </c>
      <c r="F16" s="40" t="n">
        <v>6</v>
      </c>
      <c r="G16" s="40" t="n">
        <v>15</v>
      </c>
      <c r="H16" s="40" t="n">
        <v>17</v>
      </c>
      <c r="I16" s="40" t="n">
        <v>-2</v>
      </c>
      <c r="J16" s="40" t="n">
        <v>17</v>
      </c>
      <c r="K16" s="40" t="n">
        <v>1.31</v>
      </c>
      <c r="L16" s="40" t="n">
        <v>13.3</v>
      </c>
      <c r="M16" s="40" t="n">
        <v>15.5</v>
      </c>
      <c r="N16" s="40" t="n">
        <v>-2.2</v>
      </c>
      <c r="O16" s="40" t="n">
        <v>-0.17</v>
      </c>
      <c r="P16" s="40" t="inlineStr">
        <is>
          <t>L W L W W</t>
        </is>
      </c>
      <c r="Q16" s="40" t="n">
        <v>27110</v>
      </c>
      <c r="R16" s="40" t="inlineStr">
        <is>
          <t>Harry Wilson - 3</t>
        </is>
      </c>
      <c r="S16" s="40" t="inlineStr">
        <is>
          <t>Bernd Leno</t>
        </is>
      </c>
      <c r="T16" s="40" t="n">
        <v/>
      </c>
      <c r="U16" s="40" t="n">
        <v>15</v>
      </c>
      <c r="V16" s="40" t="n">
        <v>6</v>
      </c>
      <c r="W16" s="40" t="n">
        <v>4</v>
      </c>
      <c r="X16" s="40" t="n">
        <v>1</v>
      </c>
      <c r="Y16" s="40" t="n">
        <v>1</v>
      </c>
      <c r="Z16" s="40" t="n">
        <v>9</v>
      </c>
      <c r="AA16" s="40" t="n">
        <v>3</v>
      </c>
      <c r="AB16" s="40" t="n">
        <v>6</v>
      </c>
      <c r="AC16" s="40" t="n">
        <v>13</v>
      </c>
      <c r="AD16" s="40" t="n">
        <v>2.17</v>
      </c>
      <c r="AE16" s="40" t="n">
        <v>7.5</v>
      </c>
      <c r="AF16" s="40" t="n">
        <v>5.2</v>
      </c>
      <c r="AG16" s="40" t="n">
        <v>2.3</v>
      </c>
      <c r="AH16" s="40" t="n">
        <v>0.38</v>
      </c>
      <c r="AI16" s="40" t="n">
        <v>7</v>
      </c>
      <c r="AJ16" s="40" t="n">
        <v>1</v>
      </c>
      <c r="AK16" s="40" t="n">
        <v>1</v>
      </c>
      <c r="AL16" s="40" t="n">
        <v>5</v>
      </c>
      <c r="AM16" s="40" t="n">
        <v>6</v>
      </c>
      <c r="AN16" s="40" t="n">
        <v>14</v>
      </c>
      <c r="AO16" s="40" t="n">
        <v>-8</v>
      </c>
      <c r="AP16" s="40" t="n">
        <v>4</v>
      </c>
      <c r="AQ16" s="40" t="n">
        <v>0.57</v>
      </c>
      <c r="AR16" s="40" t="n">
        <v>5.8</v>
      </c>
      <c r="AS16" s="40" t="n">
        <v>10.3</v>
      </c>
      <c r="AT16" s="40" t="n">
        <v>-4.5</v>
      </c>
      <c r="AU16" s="40" t="n">
        <v>-0.64</v>
      </c>
      <c r="AV16" s="40" t="n">
        <v>23</v>
      </c>
      <c r="AW16" s="40" t="n">
        <v>28.3</v>
      </c>
      <c r="AX16" s="40" t="n">
        <v>49.8</v>
      </c>
      <c r="AY16" s="40" t="n">
        <v>13</v>
      </c>
      <c r="AZ16" s="40" t="n">
        <v>143</v>
      </c>
      <c r="BA16" s="40" t="n">
        <v>1170</v>
      </c>
      <c r="BB16" s="40" t="n">
        <v>13</v>
      </c>
      <c r="BC16" s="40" t="n">
        <v>12</v>
      </c>
      <c r="BD16" s="40" t="n">
        <v>9</v>
      </c>
      <c r="BE16" s="40" t="n">
        <v>21</v>
      </c>
      <c r="BF16" s="40" t="n">
        <v>12</v>
      </c>
      <c r="BG16" s="40" t="n">
        <v>0</v>
      </c>
      <c r="BH16" s="40" t="n">
        <v>0</v>
      </c>
      <c r="BI16" s="40" t="n">
        <v>26</v>
      </c>
      <c r="BJ16" s="40" t="n">
        <v>0</v>
      </c>
      <c r="BK16" s="40" t="n">
        <v>13.3</v>
      </c>
      <c r="BL16" s="40" t="n">
        <v>13.3</v>
      </c>
      <c r="BM16" s="40" t="n">
        <v>10</v>
      </c>
      <c r="BN16" s="40" t="n">
        <v>23.3</v>
      </c>
      <c r="BO16" s="40" t="n">
        <v>246</v>
      </c>
      <c r="BP16" s="40" t="n">
        <v>453</v>
      </c>
      <c r="BQ16" s="40" t="n">
        <v>0.92</v>
      </c>
      <c r="BR16" s="40" t="n">
        <v>0.6899999999999999</v>
      </c>
      <c r="BS16" s="40" t="n">
        <v>1.62</v>
      </c>
      <c r="BT16" s="40" t="n">
        <v>0.92</v>
      </c>
      <c r="BU16" s="40" t="n">
        <v>1.62</v>
      </c>
      <c r="BV16" s="40" t="n">
        <v>1.02</v>
      </c>
      <c r="BW16" s="40" t="n">
        <v>0.77</v>
      </c>
      <c r="BX16" s="40" t="n">
        <v>1.79</v>
      </c>
      <c r="BY16" s="40" t="n">
        <v>1.02</v>
      </c>
      <c r="BZ16" s="40" t="n">
        <v>1.79</v>
      </c>
      <c r="CA16" s="40" t="n">
        <v>23</v>
      </c>
      <c r="CB16" s="40" t="n">
        <v>13</v>
      </c>
      <c r="CC16" s="40" t="n">
        <v>12</v>
      </c>
      <c r="CD16" s="40" t="n">
        <v>152</v>
      </c>
      <c r="CE16" s="40" t="n">
        <v>42</v>
      </c>
      <c r="CF16" s="40" t="n">
        <v>27.6</v>
      </c>
      <c r="CG16" s="40" t="n">
        <v>11.69</v>
      </c>
      <c r="CH16" s="40" t="n">
        <v>3.23</v>
      </c>
      <c r="CI16" s="40" t="n">
        <v>0.08</v>
      </c>
      <c r="CJ16" s="40" t="n">
        <v>0.29</v>
      </c>
      <c r="CK16" s="40" t="n">
        <v>17</v>
      </c>
      <c r="CL16" s="40" t="n">
        <v>3</v>
      </c>
      <c r="CM16" s="40" t="n">
        <v>0</v>
      </c>
      <c r="CN16" s="40" t="n">
        <v>0</v>
      </c>
      <c r="CO16" s="40" t="n">
        <v>13.3</v>
      </c>
      <c r="CP16" s="40" t="n">
        <v>13.3</v>
      </c>
      <c r="CQ16" s="40" t="n">
        <v>0.09</v>
      </c>
      <c r="CR16" s="40" t="n">
        <v>-1.3</v>
      </c>
      <c r="CS16" s="40" t="n">
        <v>-1.3</v>
      </c>
      <c r="CT16" s="40" t="n">
        <v>23</v>
      </c>
      <c r="CU16" s="40" t="n">
        <v>13</v>
      </c>
      <c r="CV16" s="40" t="n">
        <v>4951</v>
      </c>
      <c r="CW16" s="40" t="n">
        <v>6177</v>
      </c>
      <c r="CX16" s="40" t="n">
        <v>80.2</v>
      </c>
      <c r="CY16" s="40" t="n">
        <v>88149</v>
      </c>
      <c r="CZ16" s="40" t="n">
        <v>30394</v>
      </c>
      <c r="DA16" s="40" t="n">
        <v>2127</v>
      </c>
      <c r="DB16" s="40" t="n">
        <v>2383</v>
      </c>
      <c r="DC16" s="40" t="n">
        <v>89.3</v>
      </c>
      <c r="DD16" s="40" t="n">
        <v>2245</v>
      </c>
      <c r="DE16" s="40" t="n">
        <v>2554</v>
      </c>
      <c r="DF16" s="40" t="n">
        <v>87.90000000000001</v>
      </c>
      <c r="DG16" s="40" t="n">
        <v>478</v>
      </c>
      <c r="DH16" s="40" t="n">
        <v>920</v>
      </c>
      <c r="DI16" s="40" t="n">
        <v>52</v>
      </c>
      <c r="DJ16" s="40" t="n">
        <v>9</v>
      </c>
      <c r="DK16" s="40" t="n">
        <v>10</v>
      </c>
      <c r="DL16" s="40" t="n">
        <v>10.2</v>
      </c>
      <c r="DM16" s="40" t="n">
        <v>-1</v>
      </c>
      <c r="DN16" s="40" t="n">
        <v>114</v>
      </c>
      <c r="DO16" s="40" t="n">
        <v>368</v>
      </c>
      <c r="DP16" s="40" t="n">
        <v>107</v>
      </c>
      <c r="DQ16" s="40" t="n">
        <v>26</v>
      </c>
      <c r="DR16" s="40" t="n">
        <v>453</v>
      </c>
      <c r="DS16" s="40" t="n">
        <v>23</v>
      </c>
      <c r="DT16" s="40" t="n">
        <v>13</v>
      </c>
      <c r="DU16" s="40" t="n">
        <v>6177</v>
      </c>
      <c r="DV16" s="40" t="n">
        <v>5512</v>
      </c>
      <c r="DW16" s="40" t="n">
        <v>641</v>
      </c>
      <c r="DX16" s="40" t="n">
        <v>171</v>
      </c>
      <c r="DY16" s="40" t="n">
        <v>16</v>
      </c>
      <c r="DZ16" s="40" t="n">
        <v>49</v>
      </c>
      <c r="EA16" s="40" t="n">
        <v>242</v>
      </c>
      <c r="EB16" s="40" t="n">
        <v>271</v>
      </c>
      <c r="EC16" s="40" t="n">
        <v>65</v>
      </c>
      <c r="ED16" s="40" t="n">
        <v>42</v>
      </c>
      <c r="EE16" s="40" t="n">
        <v>15</v>
      </c>
      <c r="EF16" s="40" t="n">
        <v>1</v>
      </c>
      <c r="EG16" s="40" t="n">
        <v>4951</v>
      </c>
      <c r="EH16" s="40" t="n">
        <v>24</v>
      </c>
      <c r="EI16" s="40" t="n">
        <v>129</v>
      </c>
      <c r="EJ16" s="40" t="n">
        <v>23</v>
      </c>
      <c r="EK16" s="40" t="n">
        <v>13</v>
      </c>
      <c r="EL16" s="40" t="n">
        <v>226</v>
      </c>
      <c r="EM16" s="40" t="n">
        <v>130</v>
      </c>
      <c r="EN16" s="40" t="n">
        <v>120</v>
      </c>
      <c r="EO16" s="40" t="n">
        <v>81</v>
      </c>
      <c r="EP16" s="40" t="n">
        <v>25</v>
      </c>
      <c r="EQ16" s="40" t="n">
        <v>102</v>
      </c>
      <c r="ER16" s="40" t="n">
        <v>173</v>
      </c>
      <c r="ES16" s="40" t="n">
        <v>59</v>
      </c>
      <c r="ET16" s="40" t="n">
        <v>71</v>
      </c>
      <c r="EU16" s="40" t="n">
        <v>127</v>
      </c>
      <c r="EV16" s="40" t="n">
        <v>42</v>
      </c>
      <c r="EW16" s="40" t="n">
        <v>85</v>
      </c>
      <c r="EX16" s="40" t="n">
        <v>92</v>
      </c>
      <c r="EY16" s="40" t="n">
        <v>318</v>
      </c>
      <c r="EZ16" s="40" t="n">
        <v>380</v>
      </c>
      <c r="FA16" s="40" t="n">
        <v>10</v>
      </c>
      <c r="FB16" s="40" t="n">
        <v>23</v>
      </c>
      <c r="FC16" s="40" t="n">
        <v>49.8</v>
      </c>
      <c r="FD16" s="40" t="n">
        <v>13</v>
      </c>
      <c r="FE16" s="40" t="n">
        <v>7682</v>
      </c>
      <c r="FF16" s="40" t="n">
        <v>1022</v>
      </c>
      <c r="FG16" s="40" t="n">
        <v>2908</v>
      </c>
      <c r="FH16" s="40" t="n">
        <v>3138</v>
      </c>
      <c r="FI16" s="40" t="n">
        <v>1698</v>
      </c>
      <c r="FJ16" s="40" t="n">
        <v>303</v>
      </c>
      <c r="FK16" s="40" t="n">
        <v>7682</v>
      </c>
      <c r="FL16" s="40" t="n">
        <v>201</v>
      </c>
      <c r="FM16" s="40" t="n">
        <v>78</v>
      </c>
      <c r="FN16" s="40" t="n">
        <v>38.8</v>
      </c>
      <c r="FO16" s="40" t="n">
        <v>99</v>
      </c>
      <c r="FP16" s="40" t="n">
        <v>49.3</v>
      </c>
      <c r="FQ16" s="40" t="n">
        <v>4367</v>
      </c>
      <c r="FR16" s="40" t="n">
        <v>23371</v>
      </c>
      <c r="FS16" s="40" t="n">
        <v>12181</v>
      </c>
      <c r="FT16" s="40" t="n">
        <v>246</v>
      </c>
      <c r="FU16" s="40" t="n">
        <v>154</v>
      </c>
      <c r="FV16" s="40" t="n">
        <v>59</v>
      </c>
      <c r="FW16" s="40" t="n">
        <v>208</v>
      </c>
      <c r="FX16" s="40" t="n">
        <v>97</v>
      </c>
      <c r="FY16" s="40" t="n">
        <v>4914</v>
      </c>
      <c r="FZ16" s="40" t="n">
        <v>447</v>
      </c>
      <c r="GA16" s="40" t="n">
        <v>23</v>
      </c>
      <c r="GB16" s="40" t="n">
        <v>28.3</v>
      </c>
      <c r="GC16" s="40" t="n">
        <v>13</v>
      </c>
      <c r="GD16" s="40" t="n">
        <v>1170</v>
      </c>
      <c r="GE16" s="40" t="n">
        <v>90</v>
      </c>
      <c r="GF16" s="40" t="n">
        <v>100</v>
      </c>
      <c r="GG16" s="40" t="n">
        <v>13</v>
      </c>
      <c r="GH16" s="40" t="n">
        <v>143</v>
      </c>
      <c r="GI16" s="40" t="n">
        <v>81</v>
      </c>
      <c r="GJ16" s="40" t="n">
        <v>82</v>
      </c>
      <c r="GK16" s="40" t="n">
        <v>62</v>
      </c>
      <c r="GL16" s="40" t="n">
        <v>20</v>
      </c>
      <c r="GM16" s="40" t="n">
        <v>55</v>
      </c>
      <c r="GN16" s="40" t="n">
        <v>1.31</v>
      </c>
      <c r="GO16" s="40" t="n">
        <v>15</v>
      </c>
      <c r="GP16" s="40" t="n">
        <v>17</v>
      </c>
      <c r="GQ16" s="40" t="n">
        <v>-2</v>
      </c>
      <c r="GR16" s="40" t="n">
        <v>-0.15</v>
      </c>
      <c r="GS16" s="40" t="n">
        <v>13.3</v>
      </c>
      <c r="GT16" s="40" t="n">
        <v>15.5</v>
      </c>
      <c r="GU16" s="40" t="n">
        <v>-2.2</v>
      </c>
      <c r="GV16" s="40" t="n">
        <v>-0.17</v>
      </c>
      <c r="GW16" s="40" t="n">
        <v>23</v>
      </c>
      <c r="GX16" s="40" t="n">
        <v>13</v>
      </c>
      <c r="GY16" s="40" t="n">
        <v>26</v>
      </c>
      <c r="GZ16" s="40" t="n">
        <v>0</v>
      </c>
      <c r="HA16" s="40" t="n">
        <v>0</v>
      </c>
      <c r="HB16" s="40" t="n">
        <v>166</v>
      </c>
      <c r="HC16" s="40" t="n">
        <v>142</v>
      </c>
      <c r="HD16" s="40" t="n">
        <v>24</v>
      </c>
      <c r="HE16" s="40" t="n">
        <v>242</v>
      </c>
      <c r="HF16" s="40" t="n">
        <v>92</v>
      </c>
      <c r="HG16" s="40" t="n">
        <v>130</v>
      </c>
      <c r="HH16" s="40" t="n">
        <v>0</v>
      </c>
      <c r="HI16" s="40" t="n">
        <v>3</v>
      </c>
      <c r="HJ16" s="40" t="n">
        <v>1</v>
      </c>
      <c r="HK16" s="40" t="n">
        <v>485</v>
      </c>
      <c r="HL16" s="40" t="n">
        <v>157</v>
      </c>
      <c r="HM16" s="40" t="n">
        <v>206</v>
      </c>
      <c r="HN16" s="40" t="n">
        <v>43.3</v>
      </c>
      <c r="HO16" s="40" t="n">
        <v>1</v>
      </c>
      <c r="HP16" s="40" t="n">
        <v>13</v>
      </c>
      <c r="HQ16" s="40" t="n">
        <v>13</v>
      </c>
      <c r="HR16" s="40" t="n">
        <v>1170</v>
      </c>
      <c r="HS16" s="40" t="n">
        <v>13</v>
      </c>
      <c r="HT16" s="40" t="n">
        <v>17</v>
      </c>
      <c r="HU16" s="40" t="n">
        <v>1.31</v>
      </c>
      <c r="HV16" s="40" t="n">
        <v>51</v>
      </c>
      <c r="HW16" s="40" t="n">
        <v>35</v>
      </c>
      <c r="HX16" s="40" t="n">
        <v>70.59999999999999</v>
      </c>
      <c r="HY16" s="40" t="n">
        <v>5</v>
      </c>
      <c r="HZ16" s="40" t="n">
        <v>2</v>
      </c>
      <c r="IA16" s="40" t="n">
        <v>6</v>
      </c>
      <c r="IB16" s="40" t="n">
        <v>3</v>
      </c>
      <c r="IC16" s="40" t="n">
        <v>23.1</v>
      </c>
      <c r="ID16" s="40" t="n">
        <v>3</v>
      </c>
      <c r="IE16" s="40" t="n">
        <v>2</v>
      </c>
      <c r="IF16" s="40" t="n">
        <v>0</v>
      </c>
      <c r="IG16" s="40" t="n">
        <v>1</v>
      </c>
      <c r="IH16" s="40" t="n">
        <v>0</v>
      </c>
      <c r="II16" s="40" t="n">
        <v>1</v>
      </c>
      <c r="IJ16" s="40" t="n">
        <v>13</v>
      </c>
      <c r="IK16" s="40" t="n">
        <v>17</v>
      </c>
      <c r="IL16" s="40" t="n">
        <v>2</v>
      </c>
      <c r="IM16" s="40" t="n">
        <v>0</v>
      </c>
      <c r="IN16" s="40" t="n">
        <v>3</v>
      </c>
      <c r="IO16" s="40" t="n">
        <v>1</v>
      </c>
      <c r="IP16" s="40" t="n">
        <v>14.5</v>
      </c>
      <c r="IQ16" s="40" t="n">
        <v>0.27</v>
      </c>
      <c r="IR16" s="40" t="n">
        <v>-1.5</v>
      </c>
      <c r="IS16" s="40" t="n">
        <v>-0.12</v>
      </c>
      <c r="IT16" s="40" t="n">
        <v>41</v>
      </c>
      <c r="IU16" s="40" t="n">
        <v>163</v>
      </c>
      <c r="IV16" s="40" t="n">
        <v>25.2</v>
      </c>
      <c r="IW16" s="40" t="n">
        <v>425</v>
      </c>
      <c r="IX16" s="40" t="n">
        <v>67</v>
      </c>
      <c r="IY16" s="40" t="n">
        <v>28.2</v>
      </c>
      <c r="IZ16" s="40" t="n">
        <v>30.2</v>
      </c>
      <c r="JA16" s="40" t="n">
        <v>104</v>
      </c>
      <c r="JB16" s="40" t="n">
        <v>41.3</v>
      </c>
      <c r="JC16" s="40" t="n">
        <v>34.1</v>
      </c>
      <c r="JD16" s="40" t="n">
        <v>179</v>
      </c>
      <c r="JE16" s="40" t="n">
        <v>11</v>
      </c>
      <c r="JF16" s="40" t="n">
        <v>6.1</v>
      </c>
      <c r="JG16" s="40" t="n">
        <v>9</v>
      </c>
      <c r="JH16" s="40" t="n">
        <v>0.6899999999999999</v>
      </c>
      <c r="JI16" s="40" t="n">
        <v>12</v>
      </c>
      <c r="JJ16" s="40" t="n">
        <v>13</v>
      </c>
      <c r="JK16" s="40" t="n">
        <v>13.3</v>
      </c>
      <c r="JL16" s="40" t="n">
        <v>49.8</v>
      </c>
      <c r="JM16" s="40" t="n">
        <v>152</v>
      </c>
      <c r="JN16" s="40" t="n">
        <v>42</v>
      </c>
      <c r="JO16" s="40" t="n">
        <v>27.6</v>
      </c>
      <c r="JP16" s="40" t="n">
        <v>13.3</v>
      </c>
      <c r="JQ16" s="40" t="n">
        <v>4951</v>
      </c>
      <c r="JR16" s="40" t="n">
        <v>6177</v>
      </c>
      <c r="JS16" s="40" t="n">
        <v>80.2</v>
      </c>
      <c r="JT16" s="40" t="n">
        <v>226</v>
      </c>
      <c r="JU16" s="40" t="n">
        <v>130</v>
      </c>
      <c r="JV16" s="40" t="n">
        <v>92</v>
      </c>
      <c r="JW16" s="40" t="n">
        <v>380</v>
      </c>
      <c r="JX16" s="40" t="n">
        <v>166</v>
      </c>
      <c r="JY16" s="40" t="n">
        <v>142</v>
      </c>
      <c r="JZ16" s="40" t="n">
        <v>26</v>
      </c>
      <c r="KA16" s="40" t="n">
        <v>0</v>
      </c>
      <c r="KB16" s="40" t="n">
        <v>23.0769230769</v>
      </c>
      <c r="KC16" s="40" t="n">
        <v>27.6315789474</v>
      </c>
      <c r="KD16" s="40" t="n">
        <v>80.2</v>
      </c>
      <c r="KE16" s="40" t="n">
        <v>57.5221238938</v>
      </c>
    </row>
    <row r="17">
      <c r="A17" s="40" t="inlineStr">
        <is>
          <t>Nott'ham Forest</t>
        </is>
      </c>
      <c r="B17" s="40" t="n">
        <v>16</v>
      </c>
      <c r="C17" s="40" t="n">
        <v>13</v>
      </c>
      <c r="D17" s="40" t="n">
        <v>3</v>
      </c>
      <c r="E17" s="40" t="n">
        <v>3</v>
      </c>
      <c r="F17" s="40" t="n">
        <v>7</v>
      </c>
      <c r="G17" s="40" t="n">
        <v>13</v>
      </c>
      <c r="H17" s="40" t="n">
        <v>22</v>
      </c>
      <c r="I17" s="40" t="n">
        <v>-9</v>
      </c>
      <c r="J17" s="40" t="n">
        <v>12</v>
      </c>
      <c r="K17" s="40" t="n">
        <v>0.92</v>
      </c>
      <c r="L17" s="40" t="n">
        <v>16</v>
      </c>
      <c r="M17" s="40" t="n">
        <v>20.4</v>
      </c>
      <c r="N17" s="40" t="n">
        <v>-4.4</v>
      </c>
      <c r="O17" s="40" t="n">
        <v>-0.34</v>
      </c>
      <c r="P17" s="40" t="inlineStr">
        <is>
          <t>L D W W L</t>
        </is>
      </c>
      <c r="Q17" s="40" t="n">
        <v>30413</v>
      </c>
      <c r="R17" s="40" t="inlineStr">
        <is>
          <t>Morgan Gibbs-White - 3</t>
        </is>
      </c>
      <c r="S17" s="40" t="inlineStr">
        <is>
          <t>Matz Sels</t>
        </is>
      </c>
      <c r="T17" s="40" t="n">
        <v/>
      </c>
      <c r="U17" s="40" t="n">
        <v>16</v>
      </c>
      <c r="V17" s="40" t="n">
        <v>7</v>
      </c>
      <c r="W17" s="40" t="n">
        <v>2</v>
      </c>
      <c r="X17" s="40" t="n">
        <v>1</v>
      </c>
      <c r="Y17" s="40" t="n">
        <v>4</v>
      </c>
      <c r="Z17" s="40" t="n">
        <v>8</v>
      </c>
      <c r="AA17" s="40" t="n">
        <v>13</v>
      </c>
      <c r="AB17" s="40" t="n">
        <v>-5</v>
      </c>
      <c r="AC17" s="40" t="n">
        <v>7</v>
      </c>
      <c r="AD17" s="40" t="n">
        <v>1</v>
      </c>
      <c r="AE17" s="40" t="n">
        <v>11.6</v>
      </c>
      <c r="AF17" s="40" t="n">
        <v>11</v>
      </c>
      <c r="AG17" s="40" t="n">
        <v>0.6</v>
      </c>
      <c r="AH17" s="40" t="n">
        <v>0.08</v>
      </c>
      <c r="AI17" s="40" t="n">
        <v>6</v>
      </c>
      <c r="AJ17" s="40" t="n">
        <v>1</v>
      </c>
      <c r="AK17" s="40" t="n">
        <v>2</v>
      </c>
      <c r="AL17" s="40" t="n">
        <v>3</v>
      </c>
      <c r="AM17" s="40" t="n">
        <v>5</v>
      </c>
      <c r="AN17" s="40" t="n">
        <v>9</v>
      </c>
      <c r="AO17" s="40" t="n">
        <v>-4</v>
      </c>
      <c r="AP17" s="40" t="n">
        <v>5</v>
      </c>
      <c r="AQ17" s="40" t="n">
        <v>0.83</v>
      </c>
      <c r="AR17" s="40" t="n">
        <v>4.4</v>
      </c>
      <c r="AS17" s="40" t="n">
        <v>9.4</v>
      </c>
      <c r="AT17" s="40" t="n">
        <v>-5</v>
      </c>
      <c r="AU17" s="40" t="n">
        <v>-0.83</v>
      </c>
      <c r="AV17" s="40" t="n">
        <v>25</v>
      </c>
      <c r="AW17" s="40" t="n">
        <v>26.5</v>
      </c>
      <c r="AX17" s="40" t="n">
        <v>50.5</v>
      </c>
      <c r="AY17" s="40" t="n">
        <v>13</v>
      </c>
      <c r="AZ17" s="40" t="n">
        <v>143</v>
      </c>
      <c r="BA17" s="40" t="n">
        <v>1170</v>
      </c>
      <c r="BB17" s="40" t="n">
        <v>13</v>
      </c>
      <c r="BC17" s="40" t="n">
        <v>13</v>
      </c>
      <c r="BD17" s="40" t="n">
        <v>6</v>
      </c>
      <c r="BE17" s="40" t="n">
        <v>19</v>
      </c>
      <c r="BF17" s="40" t="n">
        <v>12</v>
      </c>
      <c r="BG17" s="40" t="n">
        <v>1</v>
      </c>
      <c r="BH17" s="40" t="n">
        <v>1</v>
      </c>
      <c r="BI17" s="40" t="n">
        <v>20</v>
      </c>
      <c r="BJ17" s="40" t="n">
        <v>0</v>
      </c>
      <c r="BK17" s="40" t="n">
        <v>16</v>
      </c>
      <c r="BL17" s="40" t="n">
        <v>15.2</v>
      </c>
      <c r="BM17" s="40" t="n">
        <v>11.6</v>
      </c>
      <c r="BN17" s="40" t="n">
        <v>26.8</v>
      </c>
      <c r="BO17" s="40" t="n">
        <v>230</v>
      </c>
      <c r="BP17" s="40" t="n">
        <v>571</v>
      </c>
      <c r="BQ17" s="40" t="n">
        <v>1</v>
      </c>
      <c r="BR17" s="40" t="n">
        <v>0.46</v>
      </c>
      <c r="BS17" s="40" t="n">
        <v>1.46</v>
      </c>
      <c r="BT17" s="40" t="n">
        <v>0.92</v>
      </c>
      <c r="BU17" s="40" t="n">
        <v>1.38</v>
      </c>
      <c r="BV17" s="40" t="n">
        <v>1.23</v>
      </c>
      <c r="BW17" s="40" t="n">
        <v>0.9</v>
      </c>
      <c r="BX17" s="40" t="n">
        <v>2.12</v>
      </c>
      <c r="BY17" s="40" t="n">
        <v>1.17</v>
      </c>
      <c r="BZ17" s="40" t="n">
        <v>2.06</v>
      </c>
      <c r="CA17" s="40" t="n">
        <v>25</v>
      </c>
      <c r="CB17" s="40" t="n">
        <v>13</v>
      </c>
      <c r="CC17" s="40" t="n">
        <v>13</v>
      </c>
      <c r="CD17" s="40" t="n">
        <v>164</v>
      </c>
      <c r="CE17" s="40" t="n">
        <v>52</v>
      </c>
      <c r="CF17" s="40" t="n">
        <v>31.7</v>
      </c>
      <c r="CG17" s="40" t="n">
        <v>12.62</v>
      </c>
      <c r="CH17" s="40" t="n">
        <v>4</v>
      </c>
      <c r="CI17" s="40" t="n">
        <v>0.07000000000000001</v>
      </c>
      <c r="CJ17" s="40" t="n">
        <v>0.23</v>
      </c>
      <c r="CK17" s="40" t="n">
        <v>17</v>
      </c>
      <c r="CL17" s="40" t="n">
        <v>4</v>
      </c>
      <c r="CM17" s="40" t="n">
        <v>1</v>
      </c>
      <c r="CN17" s="40" t="n">
        <v>1</v>
      </c>
      <c r="CO17" s="40" t="n">
        <v>16</v>
      </c>
      <c r="CP17" s="40" t="n">
        <v>15.2</v>
      </c>
      <c r="CQ17" s="40" t="n">
        <v>0.09</v>
      </c>
      <c r="CR17" s="40" t="n">
        <v>-3</v>
      </c>
      <c r="CS17" s="40" t="n">
        <v>-3.2</v>
      </c>
      <c r="CT17" s="40" t="n">
        <v>25</v>
      </c>
      <c r="CU17" s="40" t="n">
        <v>13</v>
      </c>
      <c r="CV17" s="40" t="n">
        <v>5143</v>
      </c>
      <c r="CW17" s="40" t="n">
        <v>6419</v>
      </c>
      <c r="CX17" s="40" t="n">
        <v>80.09999999999999</v>
      </c>
      <c r="CY17" s="40" t="n">
        <v>89571</v>
      </c>
      <c r="CZ17" s="40" t="n">
        <v>32120</v>
      </c>
      <c r="DA17" s="40" t="n">
        <v>2407</v>
      </c>
      <c r="DB17" s="40" t="n">
        <v>2664</v>
      </c>
      <c r="DC17" s="40" t="n">
        <v>90.40000000000001</v>
      </c>
      <c r="DD17" s="40" t="n">
        <v>2225</v>
      </c>
      <c r="DE17" s="40" t="n">
        <v>2558</v>
      </c>
      <c r="DF17" s="40" t="n">
        <v>87</v>
      </c>
      <c r="DG17" s="40" t="n">
        <v>431</v>
      </c>
      <c r="DH17" s="40" t="n">
        <v>938</v>
      </c>
      <c r="DI17" s="40" t="n">
        <v>45.9</v>
      </c>
      <c r="DJ17" s="40" t="n">
        <v>6</v>
      </c>
      <c r="DK17" s="40" t="n">
        <v>11.6</v>
      </c>
      <c r="DL17" s="40" t="n">
        <v>10</v>
      </c>
      <c r="DM17" s="40" t="n">
        <v>-5.6</v>
      </c>
      <c r="DN17" s="40" t="n">
        <v>121</v>
      </c>
      <c r="DO17" s="40" t="n">
        <v>483</v>
      </c>
      <c r="DP17" s="40" t="n">
        <v>121</v>
      </c>
      <c r="DQ17" s="40" t="n">
        <v>35</v>
      </c>
      <c r="DR17" s="40" t="n">
        <v>571</v>
      </c>
      <c r="DS17" s="40" t="n">
        <v>25</v>
      </c>
      <c r="DT17" s="40" t="n">
        <v>13</v>
      </c>
      <c r="DU17" s="40" t="n">
        <v>6419</v>
      </c>
      <c r="DV17" s="40" t="n">
        <v>5799</v>
      </c>
      <c r="DW17" s="40" t="n">
        <v>604</v>
      </c>
      <c r="DX17" s="40" t="n">
        <v>153</v>
      </c>
      <c r="DY17" s="40" t="n">
        <v>14</v>
      </c>
      <c r="DZ17" s="40" t="n">
        <v>25</v>
      </c>
      <c r="EA17" s="40" t="n">
        <v>319</v>
      </c>
      <c r="EB17" s="40" t="n">
        <v>242</v>
      </c>
      <c r="EC17" s="40" t="n">
        <v>71</v>
      </c>
      <c r="ED17" s="40" t="n">
        <v>39</v>
      </c>
      <c r="EE17" s="40" t="n">
        <v>23</v>
      </c>
      <c r="EF17" s="40" t="n">
        <v>0</v>
      </c>
      <c r="EG17" s="40" t="n">
        <v>5143</v>
      </c>
      <c r="EH17" s="40" t="n">
        <v>16</v>
      </c>
      <c r="EI17" s="40" t="n">
        <v>113</v>
      </c>
      <c r="EJ17" s="40" t="n">
        <v>25</v>
      </c>
      <c r="EK17" s="40" t="n">
        <v>13</v>
      </c>
      <c r="EL17" s="40" t="n">
        <v>226</v>
      </c>
      <c r="EM17" s="40" t="n">
        <v>137</v>
      </c>
      <c r="EN17" s="40" t="n">
        <v>113</v>
      </c>
      <c r="EO17" s="40" t="n">
        <v>70</v>
      </c>
      <c r="EP17" s="40" t="n">
        <v>43</v>
      </c>
      <c r="EQ17" s="40" t="n">
        <v>124</v>
      </c>
      <c r="ER17" s="40" t="n">
        <v>228</v>
      </c>
      <c r="ES17" s="40" t="n">
        <v>54.4</v>
      </c>
      <c r="ET17" s="40" t="n">
        <v>104</v>
      </c>
      <c r="EU17" s="40" t="n">
        <v>141</v>
      </c>
      <c r="EV17" s="40" t="n">
        <v>53</v>
      </c>
      <c r="EW17" s="40" t="n">
        <v>88</v>
      </c>
      <c r="EX17" s="40" t="n">
        <v>102</v>
      </c>
      <c r="EY17" s="40" t="n">
        <v>328</v>
      </c>
      <c r="EZ17" s="40" t="n">
        <v>318</v>
      </c>
      <c r="FA17" s="40" t="n">
        <v>15</v>
      </c>
      <c r="FB17" s="40" t="n">
        <v>25</v>
      </c>
      <c r="FC17" s="40" t="n">
        <v>50.5</v>
      </c>
      <c r="FD17" s="40" t="n">
        <v>13</v>
      </c>
      <c r="FE17" s="40" t="n">
        <v>7927</v>
      </c>
      <c r="FF17" s="40" t="n">
        <v>828</v>
      </c>
      <c r="FG17" s="40" t="n">
        <v>2574</v>
      </c>
      <c r="FH17" s="40" t="n">
        <v>3308</v>
      </c>
      <c r="FI17" s="40" t="n">
        <v>2127</v>
      </c>
      <c r="FJ17" s="40" t="n">
        <v>291</v>
      </c>
      <c r="FK17" s="40" t="n">
        <v>7926</v>
      </c>
      <c r="FL17" s="40" t="n">
        <v>218</v>
      </c>
      <c r="FM17" s="40" t="n">
        <v>98</v>
      </c>
      <c r="FN17" s="40" t="n">
        <v>45</v>
      </c>
      <c r="FO17" s="40" t="n">
        <v>105</v>
      </c>
      <c r="FP17" s="40" t="n">
        <v>48.2</v>
      </c>
      <c r="FQ17" s="40" t="n">
        <v>4353</v>
      </c>
      <c r="FR17" s="40" t="n">
        <v>22085</v>
      </c>
      <c r="FS17" s="40" t="n">
        <v>11525</v>
      </c>
      <c r="FT17" s="40" t="n">
        <v>230</v>
      </c>
      <c r="FU17" s="40" t="n">
        <v>186</v>
      </c>
      <c r="FV17" s="40" t="n">
        <v>55</v>
      </c>
      <c r="FW17" s="40" t="n">
        <v>206</v>
      </c>
      <c r="FX17" s="40" t="n">
        <v>86</v>
      </c>
      <c r="FY17" s="40" t="n">
        <v>5103</v>
      </c>
      <c r="FZ17" s="40" t="n">
        <v>561</v>
      </c>
      <c r="GA17" s="40" t="n">
        <v>25</v>
      </c>
      <c r="GB17" s="40" t="n">
        <v>26.5</v>
      </c>
      <c r="GC17" s="40" t="n">
        <v>13</v>
      </c>
      <c r="GD17" s="40" t="n">
        <v>1170</v>
      </c>
      <c r="GE17" s="40" t="n">
        <v>90</v>
      </c>
      <c r="GF17" s="40" t="n">
        <v>100</v>
      </c>
      <c r="GG17" s="40" t="n">
        <v>13</v>
      </c>
      <c r="GH17" s="40" t="n">
        <v>143</v>
      </c>
      <c r="GI17" s="40" t="n">
        <v>82</v>
      </c>
      <c r="GJ17" s="40" t="n">
        <v>89</v>
      </c>
      <c r="GK17" s="40" t="n">
        <v>54</v>
      </c>
      <c r="GL17" s="40" t="n">
        <v>22</v>
      </c>
      <c r="GM17" s="40" t="n">
        <v>63</v>
      </c>
      <c r="GN17" s="40" t="n">
        <v>0.92</v>
      </c>
      <c r="GO17" s="40" t="n">
        <v>13</v>
      </c>
      <c r="GP17" s="40" t="n">
        <v>22</v>
      </c>
      <c r="GQ17" s="40" t="n">
        <v>-9</v>
      </c>
      <c r="GR17" s="40" t="n">
        <v>-0.6899999999999999</v>
      </c>
      <c r="GS17" s="40" t="n">
        <v>16</v>
      </c>
      <c r="GT17" s="40" t="n">
        <v>20.4</v>
      </c>
      <c r="GU17" s="40" t="n">
        <v>-4.4</v>
      </c>
      <c r="GV17" s="40" t="n">
        <v>-0.34</v>
      </c>
      <c r="GW17" s="40" t="n">
        <v>25</v>
      </c>
      <c r="GX17" s="40" t="n">
        <v>13</v>
      </c>
      <c r="GY17" s="40" t="n">
        <v>20</v>
      </c>
      <c r="GZ17" s="40" t="n">
        <v>0</v>
      </c>
      <c r="HA17" s="40" t="n">
        <v>0</v>
      </c>
      <c r="HB17" s="40" t="n">
        <v>139</v>
      </c>
      <c r="HC17" s="40" t="n">
        <v>141</v>
      </c>
      <c r="HD17" s="40" t="n">
        <v>16</v>
      </c>
      <c r="HE17" s="40" t="n">
        <v>319</v>
      </c>
      <c r="HF17" s="40" t="n">
        <v>102</v>
      </c>
      <c r="HG17" s="40" t="n">
        <v>137</v>
      </c>
      <c r="HH17" s="40" t="n">
        <v>1</v>
      </c>
      <c r="HI17" s="40" t="n">
        <v>3</v>
      </c>
      <c r="HJ17" s="40" t="n">
        <v>0</v>
      </c>
      <c r="HK17" s="40" t="n">
        <v>553</v>
      </c>
      <c r="HL17" s="40" t="n">
        <v>170</v>
      </c>
      <c r="HM17" s="40" t="n">
        <v>195</v>
      </c>
      <c r="HN17" s="40" t="n">
        <v>46.6</v>
      </c>
      <c r="HO17" s="40" t="n">
        <v>1</v>
      </c>
      <c r="HP17" s="40" t="n">
        <v>13</v>
      </c>
      <c r="HQ17" s="40" t="n">
        <v>13</v>
      </c>
      <c r="HR17" s="40" t="n">
        <v>1170</v>
      </c>
      <c r="HS17" s="40" t="n">
        <v>13</v>
      </c>
      <c r="HT17" s="40" t="n">
        <v>22</v>
      </c>
      <c r="HU17" s="40" t="n">
        <v>1.69</v>
      </c>
      <c r="HV17" s="40" t="n">
        <v>65</v>
      </c>
      <c r="HW17" s="40" t="n">
        <v>43</v>
      </c>
      <c r="HX17" s="40" t="n">
        <v>70.8</v>
      </c>
      <c r="HY17" s="40" t="n">
        <v>3</v>
      </c>
      <c r="HZ17" s="40" t="n">
        <v>3</v>
      </c>
      <c r="IA17" s="40" t="n">
        <v>7</v>
      </c>
      <c r="IB17" s="40" t="n">
        <v>1</v>
      </c>
      <c r="IC17" s="40" t="n">
        <v>7.7</v>
      </c>
      <c r="ID17" s="40" t="n">
        <v>3</v>
      </c>
      <c r="IE17" s="40" t="n">
        <v>3</v>
      </c>
      <c r="IF17" s="40" t="n">
        <v>0</v>
      </c>
      <c r="IG17" s="40" t="n">
        <v>0</v>
      </c>
      <c r="IH17" s="40" t="n">
        <v>0</v>
      </c>
      <c r="II17" s="40" t="n">
        <v>1</v>
      </c>
      <c r="IJ17" s="40" t="n">
        <v>13</v>
      </c>
      <c r="IK17" s="40" t="n">
        <v>22</v>
      </c>
      <c r="IL17" s="40" t="n">
        <v>3</v>
      </c>
      <c r="IM17" s="40" t="n">
        <v>1</v>
      </c>
      <c r="IN17" s="40" t="n">
        <v>5</v>
      </c>
      <c r="IO17" s="40" t="n">
        <v>0</v>
      </c>
      <c r="IP17" s="40" t="n">
        <v>21.5</v>
      </c>
      <c r="IQ17" s="40" t="n">
        <v>0.3</v>
      </c>
      <c r="IR17" s="40" t="n">
        <v>-0.5</v>
      </c>
      <c r="IS17" s="40" t="n">
        <v>-0.04</v>
      </c>
      <c r="IT17" s="40" t="n">
        <v>58</v>
      </c>
      <c r="IU17" s="40" t="n">
        <v>198</v>
      </c>
      <c r="IV17" s="40" t="n">
        <v>29.3</v>
      </c>
      <c r="IW17" s="40" t="n">
        <v>282</v>
      </c>
      <c r="IX17" s="40" t="n">
        <v>44</v>
      </c>
      <c r="IY17" s="40" t="n">
        <v>56.4</v>
      </c>
      <c r="IZ17" s="40" t="n">
        <v>39.9</v>
      </c>
      <c r="JA17" s="40" t="n">
        <v>103</v>
      </c>
      <c r="JB17" s="40" t="n">
        <v>37.9</v>
      </c>
      <c r="JC17" s="40" t="n">
        <v>35</v>
      </c>
      <c r="JD17" s="40" t="n">
        <v>177</v>
      </c>
      <c r="JE17" s="40" t="n">
        <v>8</v>
      </c>
      <c r="JF17" s="40" t="n">
        <v>4.5</v>
      </c>
      <c r="JG17" s="40" t="n">
        <v>16</v>
      </c>
      <c r="JH17" s="40" t="n">
        <v>1.23</v>
      </c>
      <c r="JI17" s="40" t="n">
        <v>15.8</v>
      </c>
      <c r="JJ17" s="40" t="n">
        <v>13</v>
      </c>
      <c r="JK17" s="40" t="n">
        <v>16</v>
      </c>
      <c r="JL17" s="40" t="n">
        <v>50.5</v>
      </c>
      <c r="JM17" s="40" t="n">
        <v>164</v>
      </c>
      <c r="JN17" s="40" t="n">
        <v>52</v>
      </c>
      <c r="JO17" s="40" t="n">
        <v>31.7</v>
      </c>
      <c r="JP17" s="40" t="n">
        <v>15.2</v>
      </c>
      <c r="JQ17" s="40" t="n">
        <v>5143</v>
      </c>
      <c r="JR17" s="40" t="n">
        <v>6419</v>
      </c>
      <c r="JS17" s="40" t="n">
        <v>80.09999999999999</v>
      </c>
      <c r="JT17" s="40" t="n">
        <v>226</v>
      </c>
      <c r="JU17" s="40" t="n">
        <v>137</v>
      </c>
      <c r="JV17" s="40" t="n">
        <v>102</v>
      </c>
      <c r="JW17" s="40" t="n">
        <v>318</v>
      </c>
      <c r="JX17" s="40" t="n">
        <v>139</v>
      </c>
      <c r="JY17" s="40" t="n">
        <v>141</v>
      </c>
      <c r="JZ17" s="40" t="n">
        <v>20</v>
      </c>
      <c r="KA17" s="40" t="n">
        <v>0</v>
      </c>
      <c r="KB17" s="40" t="n">
        <v>7.6923076923</v>
      </c>
      <c r="KC17" s="40" t="n">
        <v>31.7073170732</v>
      </c>
      <c r="KD17" s="40" t="n">
        <v>80.09999999999999</v>
      </c>
      <c r="KE17" s="40" t="n">
        <v>60.6194690265</v>
      </c>
    </row>
    <row r="18">
      <c r="A18" s="40" t="inlineStr">
        <is>
          <t>West Ham</t>
        </is>
      </c>
      <c r="B18" s="40" t="n">
        <v>17</v>
      </c>
      <c r="C18" s="40" t="n">
        <v>13</v>
      </c>
      <c r="D18" s="40" t="n">
        <v>3</v>
      </c>
      <c r="E18" s="40" t="n">
        <v>2</v>
      </c>
      <c r="F18" s="40" t="n">
        <v>8</v>
      </c>
      <c r="G18" s="40" t="n">
        <v>15</v>
      </c>
      <c r="H18" s="40" t="n">
        <v>27</v>
      </c>
      <c r="I18" s="40" t="n">
        <v>-12</v>
      </c>
      <c r="J18" s="40" t="n">
        <v>11</v>
      </c>
      <c r="K18" s="40" t="n">
        <v>0.85</v>
      </c>
      <c r="L18" s="40" t="n">
        <v>13.3</v>
      </c>
      <c r="M18" s="40" t="n">
        <v>21.5</v>
      </c>
      <c r="N18" s="40" t="n">
        <v>-8.199999999999999</v>
      </c>
      <c r="O18" s="40" t="n">
        <v>-0.63</v>
      </c>
      <c r="P18" s="40" t="inlineStr">
        <is>
          <t>L W W D L</t>
        </is>
      </c>
      <c r="Q18" s="40" t="n">
        <v>62453</v>
      </c>
      <c r="R18" s="40" t="inlineStr">
        <is>
          <t>Callum Wilson - 4</t>
        </is>
      </c>
      <c r="S18" s="40" t="inlineStr">
        <is>
          <t>Alphonse Areola</t>
        </is>
      </c>
      <c r="T18" s="40" t="n">
        <v/>
      </c>
      <c r="U18" s="40" t="n">
        <v>17</v>
      </c>
      <c r="V18" s="40" t="n">
        <v>7</v>
      </c>
      <c r="W18" s="40" t="n">
        <v>2</v>
      </c>
      <c r="X18" s="40" t="n">
        <v>0</v>
      </c>
      <c r="Y18" s="40" t="n">
        <v>5</v>
      </c>
      <c r="Z18" s="40" t="n">
        <v>8</v>
      </c>
      <c r="AA18" s="40" t="n">
        <v>17</v>
      </c>
      <c r="AB18" s="40" t="n">
        <v>-9</v>
      </c>
      <c r="AC18" s="40" t="n">
        <v>6</v>
      </c>
      <c r="AD18" s="40" t="n">
        <v>0.86</v>
      </c>
      <c r="AE18" s="40" t="n">
        <v>7.4</v>
      </c>
      <c r="AF18" s="40" t="n">
        <v>11.1</v>
      </c>
      <c r="AG18" s="40" t="n">
        <v>-3.8</v>
      </c>
      <c r="AH18" s="40" t="n">
        <v>-0.54</v>
      </c>
      <c r="AI18" s="40" t="n">
        <v>6</v>
      </c>
      <c r="AJ18" s="40" t="n">
        <v>1</v>
      </c>
      <c r="AK18" s="40" t="n">
        <v>2</v>
      </c>
      <c r="AL18" s="40" t="n">
        <v>3</v>
      </c>
      <c r="AM18" s="40" t="n">
        <v>7</v>
      </c>
      <c r="AN18" s="40" t="n">
        <v>10</v>
      </c>
      <c r="AO18" s="40" t="n">
        <v>-3</v>
      </c>
      <c r="AP18" s="40" t="n">
        <v>5</v>
      </c>
      <c r="AQ18" s="40" t="n">
        <v>0.83</v>
      </c>
      <c r="AR18" s="40" t="n">
        <v>5.9</v>
      </c>
      <c r="AS18" s="40" t="n">
        <v>10.3</v>
      </c>
      <c r="AT18" s="40" t="n">
        <v>-4.5</v>
      </c>
      <c r="AU18" s="40" t="n">
        <v>-0.75</v>
      </c>
      <c r="AV18" s="40" t="n">
        <v>25</v>
      </c>
      <c r="AW18" s="40" t="n">
        <v>27.2</v>
      </c>
      <c r="AX18" s="40" t="n">
        <v>44.2</v>
      </c>
      <c r="AY18" s="40" t="n">
        <v>13</v>
      </c>
      <c r="AZ18" s="40" t="n">
        <v>143</v>
      </c>
      <c r="BA18" s="40" t="n">
        <v>1170</v>
      </c>
      <c r="BB18" s="40" t="n">
        <v>13</v>
      </c>
      <c r="BC18" s="40" t="n">
        <v>14</v>
      </c>
      <c r="BD18" s="40" t="n">
        <v>8</v>
      </c>
      <c r="BE18" s="40" t="n">
        <v>22</v>
      </c>
      <c r="BF18" s="40" t="n">
        <v>13</v>
      </c>
      <c r="BG18" s="40" t="n">
        <v>1</v>
      </c>
      <c r="BH18" s="40" t="n">
        <v>1</v>
      </c>
      <c r="BI18" s="40" t="n">
        <v>22</v>
      </c>
      <c r="BJ18" s="40" t="n">
        <v>2</v>
      </c>
      <c r="BK18" s="40" t="n">
        <v>13.3</v>
      </c>
      <c r="BL18" s="40" t="n">
        <v>12.5</v>
      </c>
      <c r="BM18" s="40" t="n">
        <v>7.8</v>
      </c>
      <c r="BN18" s="40" t="n">
        <v>20.2</v>
      </c>
      <c r="BO18" s="40" t="n">
        <v>149</v>
      </c>
      <c r="BP18" s="40" t="n">
        <v>384</v>
      </c>
      <c r="BQ18" s="40" t="n">
        <v>1.08</v>
      </c>
      <c r="BR18" s="40" t="n">
        <v>0.62</v>
      </c>
      <c r="BS18" s="40" t="n">
        <v>1.69</v>
      </c>
      <c r="BT18" s="40" t="n">
        <v>1</v>
      </c>
      <c r="BU18" s="40" t="n">
        <v>1.62</v>
      </c>
      <c r="BV18" s="40" t="n">
        <v>1.02</v>
      </c>
      <c r="BW18" s="40" t="n">
        <v>0.6</v>
      </c>
      <c r="BX18" s="40" t="n">
        <v>1.62</v>
      </c>
      <c r="BY18" s="40" t="n">
        <v>0.96</v>
      </c>
      <c r="BZ18" s="40" t="n">
        <v>1.56</v>
      </c>
      <c r="CA18" s="40" t="n">
        <v>25</v>
      </c>
      <c r="CB18" s="40" t="n">
        <v>13</v>
      </c>
      <c r="CC18" s="40" t="n">
        <v>14</v>
      </c>
      <c r="CD18" s="40" t="n">
        <v>126</v>
      </c>
      <c r="CE18" s="40" t="n">
        <v>45</v>
      </c>
      <c r="CF18" s="40" t="n">
        <v>35.7</v>
      </c>
      <c r="CG18" s="40" t="n">
        <v>9.69</v>
      </c>
      <c r="CH18" s="40" t="n">
        <v>3.46</v>
      </c>
      <c r="CI18" s="40" t="n">
        <v>0.1</v>
      </c>
      <c r="CJ18" s="40" t="n">
        <v>0.29</v>
      </c>
      <c r="CK18" s="40" t="n">
        <v>16.3</v>
      </c>
      <c r="CL18" s="40" t="n">
        <v>3</v>
      </c>
      <c r="CM18" s="40" t="n">
        <v>1</v>
      </c>
      <c r="CN18" s="40" t="n">
        <v>1</v>
      </c>
      <c r="CO18" s="40" t="n">
        <v>13.3</v>
      </c>
      <c r="CP18" s="40" t="n">
        <v>12.5</v>
      </c>
      <c r="CQ18" s="40" t="n">
        <v>0.11</v>
      </c>
      <c r="CR18" s="40" t="n">
        <v>0.7</v>
      </c>
      <c r="CS18" s="40" t="n">
        <v>0.5</v>
      </c>
      <c r="CT18" s="40" t="n">
        <v>25</v>
      </c>
      <c r="CU18" s="40" t="n">
        <v>13</v>
      </c>
      <c r="CV18" s="40" t="n">
        <v>4264</v>
      </c>
      <c r="CW18" s="40" t="n">
        <v>5483</v>
      </c>
      <c r="CX18" s="40" t="n">
        <v>77.8</v>
      </c>
      <c r="CY18" s="40" t="n">
        <v>73033</v>
      </c>
      <c r="CZ18" s="40" t="n">
        <v>25784</v>
      </c>
      <c r="DA18" s="40" t="n">
        <v>2036</v>
      </c>
      <c r="DB18" s="40" t="n">
        <v>2276</v>
      </c>
      <c r="DC18" s="40" t="n">
        <v>89.5</v>
      </c>
      <c r="DD18" s="40" t="n">
        <v>1696</v>
      </c>
      <c r="DE18" s="40" t="n">
        <v>1977</v>
      </c>
      <c r="DF18" s="40" t="n">
        <v>85.8</v>
      </c>
      <c r="DG18" s="40" t="n">
        <v>397</v>
      </c>
      <c r="DH18" s="40" t="n">
        <v>897</v>
      </c>
      <c r="DI18" s="40" t="n">
        <v>44.3</v>
      </c>
      <c r="DJ18" s="40" t="n">
        <v>8</v>
      </c>
      <c r="DK18" s="40" t="n">
        <v>7.8</v>
      </c>
      <c r="DL18" s="40" t="n">
        <v>7.5</v>
      </c>
      <c r="DM18" s="40" t="n">
        <v>0.2</v>
      </c>
      <c r="DN18" s="40" t="n">
        <v>96</v>
      </c>
      <c r="DO18" s="40" t="n">
        <v>311</v>
      </c>
      <c r="DP18" s="40" t="n">
        <v>77</v>
      </c>
      <c r="DQ18" s="40" t="n">
        <v>23</v>
      </c>
      <c r="DR18" s="40" t="n">
        <v>384</v>
      </c>
      <c r="DS18" s="40" t="n">
        <v>25</v>
      </c>
      <c r="DT18" s="40" t="n">
        <v>13</v>
      </c>
      <c r="DU18" s="40" t="n">
        <v>5483</v>
      </c>
      <c r="DV18" s="40" t="n">
        <v>4841</v>
      </c>
      <c r="DW18" s="40" t="n">
        <v>620</v>
      </c>
      <c r="DX18" s="40" t="n">
        <v>145</v>
      </c>
      <c r="DY18" s="40" t="n">
        <v>19</v>
      </c>
      <c r="DZ18" s="40" t="n">
        <v>30</v>
      </c>
      <c r="EA18" s="40" t="n">
        <v>232</v>
      </c>
      <c r="EB18" s="40" t="n">
        <v>247</v>
      </c>
      <c r="EC18" s="40" t="n">
        <v>72</v>
      </c>
      <c r="ED18" s="40" t="n">
        <v>38</v>
      </c>
      <c r="EE18" s="40" t="n">
        <v>25</v>
      </c>
      <c r="EF18" s="40" t="n">
        <v>0</v>
      </c>
      <c r="EG18" s="40" t="n">
        <v>4264</v>
      </c>
      <c r="EH18" s="40" t="n">
        <v>22</v>
      </c>
      <c r="EI18" s="40" t="n">
        <v>109</v>
      </c>
      <c r="EJ18" s="40" t="n">
        <v>25</v>
      </c>
      <c r="EK18" s="40" t="n">
        <v>13</v>
      </c>
      <c r="EL18" s="40" t="n">
        <v>183</v>
      </c>
      <c r="EM18" s="40" t="n">
        <v>111</v>
      </c>
      <c r="EN18" s="40" t="n">
        <v>95</v>
      </c>
      <c r="EO18" s="40" t="n">
        <v>70</v>
      </c>
      <c r="EP18" s="40" t="n">
        <v>18</v>
      </c>
      <c r="EQ18" s="40" t="n">
        <v>86</v>
      </c>
      <c r="ER18" s="40" t="n">
        <v>158</v>
      </c>
      <c r="ES18" s="40" t="n">
        <v>54.4</v>
      </c>
      <c r="ET18" s="40" t="n">
        <v>72</v>
      </c>
      <c r="EU18" s="40" t="n">
        <v>140</v>
      </c>
      <c r="EV18" s="40" t="n">
        <v>55</v>
      </c>
      <c r="EW18" s="40" t="n">
        <v>85</v>
      </c>
      <c r="EX18" s="40" t="n">
        <v>91</v>
      </c>
      <c r="EY18" s="40" t="n">
        <v>274</v>
      </c>
      <c r="EZ18" s="40" t="n">
        <v>435</v>
      </c>
      <c r="FA18" s="40" t="n">
        <v>6</v>
      </c>
      <c r="FB18" s="40" t="n">
        <v>25</v>
      </c>
      <c r="FC18" s="40" t="n">
        <v>44.2</v>
      </c>
      <c r="FD18" s="40" t="n">
        <v>13</v>
      </c>
      <c r="FE18" s="40" t="n">
        <v>7041</v>
      </c>
      <c r="FF18" s="40" t="n">
        <v>926</v>
      </c>
      <c r="FG18" s="40" t="n">
        <v>2480</v>
      </c>
      <c r="FH18" s="40" t="n">
        <v>3070</v>
      </c>
      <c r="FI18" s="40" t="n">
        <v>1557</v>
      </c>
      <c r="FJ18" s="40" t="n">
        <v>208</v>
      </c>
      <c r="FK18" s="40" t="n">
        <v>7040</v>
      </c>
      <c r="FL18" s="40" t="n">
        <v>210</v>
      </c>
      <c r="FM18" s="40" t="n">
        <v>81</v>
      </c>
      <c r="FN18" s="40" t="n">
        <v>38.6</v>
      </c>
      <c r="FO18" s="40" t="n">
        <v>104</v>
      </c>
      <c r="FP18" s="40" t="n">
        <v>49.5</v>
      </c>
      <c r="FQ18" s="40" t="n">
        <v>3480</v>
      </c>
      <c r="FR18" s="40" t="n">
        <v>18843</v>
      </c>
      <c r="FS18" s="40" t="n">
        <v>9223</v>
      </c>
      <c r="FT18" s="40" t="n">
        <v>149</v>
      </c>
      <c r="FU18" s="40" t="n">
        <v>131</v>
      </c>
      <c r="FV18" s="40" t="n">
        <v>38</v>
      </c>
      <c r="FW18" s="40" t="n">
        <v>186</v>
      </c>
      <c r="FX18" s="40" t="n">
        <v>106</v>
      </c>
      <c r="FY18" s="40" t="n">
        <v>4223</v>
      </c>
      <c r="FZ18" s="40" t="n">
        <v>378</v>
      </c>
      <c r="GA18" s="40" t="n">
        <v>25</v>
      </c>
      <c r="GB18" s="40" t="n">
        <v>27.2</v>
      </c>
      <c r="GC18" s="40" t="n">
        <v>13</v>
      </c>
      <c r="GD18" s="40" t="n">
        <v>1170</v>
      </c>
      <c r="GE18" s="40" t="n">
        <v>90</v>
      </c>
      <c r="GF18" s="40" t="n">
        <v>100</v>
      </c>
      <c r="GG18" s="40" t="n">
        <v>13</v>
      </c>
      <c r="GH18" s="40" t="n">
        <v>143</v>
      </c>
      <c r="GI18" s="40" t="n">
        <v>82</v>
      </c>
      <c r="GJ18" s="40" t="n">
        <v>95</v>
      </c>
      <c r="GK18" s="40" t="n">
        <v>46</v>
      </c>
      <c r="GL18" s="40" t="n">
        <v>23</v>
      </c>
      <c r="GM18" s="40" t="n">
        <v>71</v>
      </c>
      <c r="GN18" s="40" t="n">
        <v>0.85</v>
      </c>
      <c r="GO18" s="40" t="n">
        <v>15</v>
      </c>
      <c r="GP18" s="40" t="n">
        <v>27</v>
      </c>
      <c r="GQ18" s="40" t="n">
        <v>-12</v>
      </c>
      <c r="GR18" s="40" t="n">
        <v>-0.92</v>
      </c>
      <c r="GS18" s="40" t="n">
        <v>13.3</v>
      </c>
      <c r="GT18" s="40" t="n">
        <v>21.5</v>
      </c>
      <c r="GU18" s="40" t="n">
        <v>-8.199999999999999</v>
      </c>
      <c r="GV18" s="40" t="n">
        <v>-0.63</v>
      </c>
      <c r="GW18" s="40" t="n">
        <v>25</v>
      </c>
      <c r="GX18" s="40" t="n">
        <v>13</v>
      </c>
      <c r="GY18" s="40" t="n">
        <v>22</v>
      </c>
      <c r="GZ18" s="40" t="n">
        <v>2</v>
      </c>
      <c r="HA18" s="40" t="n">
        <v>1</v>
      </c>
      <c r="HB18" s="40" t="n">
        <v>139</v>
      </c>
      <c r="HC18" s="40" t="n">
        <v>125</v>
      </c>
      <c r="HD18" s="40" t="n">
        <v>22</v>
      </c>
      <c r="HE18" s="40" t="n">
        <v>232</v>
      </c>
      <c r="HF18" s="40" t="n">
        <v>91</v>
      </c>
      <c r="HG18" s="40" t="n">
        <v>111</v>
      </c>
      <c r="HH18" s="40" t="n">
        <v>1</v>
      </c>
      <c r="HI18" s="40" t="n">
        <v>2</v>
      </c>
      <c r="HJ18" s="40" t="n">
        <v>0</v>
      </c>
      <c r="HK18" s="40" t="n">
        <v>480</v>
      </c>
      <c r="HL18" s="40" t="n">
        <v>195</v>
      </c>
      <c r="HM18" s="40" t="n">
        <v>224</v>
      </c>
      <c r="HN18" s="40" t="n">
        <v>46.5</v>
      </c>
      <c r="HO18" s="40" t="n">
        <v>2</v>
      </c>
      <c r="HP18" s="40" t="n">
        <v>13</v>
      </c>
      <c r="HQ18" s="40" t="n">
        <v>13</v>
      </c>
      <c r="HR18" s="40" t="n">
        <v>1170</v>
      </c>
      <c r="HS18" s="40" t="n">
        <v>13</v>
      </c>
      <c r="HT18" s="40" t="n">
        <v>27</v>
      </c>
      <c r="HU18" s="40" t="n">
        <v>2.08</v>
      </c>
      <c r="HV18" s="40" t="n">
        <v>71</v>
      </c>
      <c r="HW18" s="40" t="n">
        <v>44</v>
      </c>
      <c r="HX18" s="40" t="n">
        <v>64.8</v>
      </c>
      <c r="HY18" s="40" t="n">
        <v>3</v>
      </c>
      <c r="HZ18" s="40" t="n">
        <v>2</v>
      </c>
      <c r="IA18" s="40" t="n">
        <v>8</v>
      </c>
      <c r="IB18" s="40" t="n">
        <v>1</v>
      </c>
      <c r="IC18" s="40" t="n">
        <v>7.7</v>
      </c>
      <c r="ID18" s="40" t="n">
        <v>2</v>
      </c>
      <c r="IE18" s="40" t="n">
        <v>2</v>
      </c>
      <c r="IF18" s="40" t="n">
        <v>0</v>
      </c>
      <c r="IG18" s="40" t="n">
        <v>0</v>
      </c>
      <c r="IH18" s="40" t="n">
        <v>0</v>
      </c>
      <c r="II18" s="40" t="n">
        <v>2</v>
      </c>
      <c r="IJ18" s="40" t="n">
        <v>13</v>
      </c>
      <c r="IK18" s="40" t="n">
        <v>27</v>
      </c>
      <c r="IL18" s="40" t="n">
        <v>2</v>
      </c>
      <c r="IM18" s="40" t="n">
        <v>0</v>
      </c>
      <c r="IN18" s="40" t="n">
        <v>9</v>
      </c>
      <c r="IO18" s="40" t="n">
        <v>0</v>
      </c>
      <c r="IP18" s="40" t="n">
        <v>25.2</v>
      </c>
      <c r="IQ18" s="40" t="n">
        <v>0.34</v>
      </c>
      <c r="IR18" s="40" t="n">
        <v>-1.8</v>
      </c>
      <c r="IS18" s="40" t="n">
        <v>-0.14</v>
      </c>
      <c r="IT18" s="40" t="n">
        <v>71</v>
      </c>
      <c r="IU18" s="40" t="n">
        <v>250</v>
      </c>
      <c r="IV18" s="40" t="n">
        <v>28.4</v>
      </c>
      <c r="IW18" s="40" t="n">
        <v>344</v>
      </c>
      <c r="IX18" s="40" t="n">
        <v>66</v>
      </c>
      <c r="IY18" s="40" t="n">
        <v>49.7</v>
      </c>
      <c r="IZ18" s="40" t="n">
        <v>39.3</v>
      </c>
      <c r="JA18" s="40" t="n">
        <v>116</v>
      </c>
      <c r="JB18" s="40" t="n">
        <v>68.09999999999999</v>
      </c>
      <c r="JC18" s="40" t="n">
        <v>48.5</v>
      </c>
      <c r="JD18" s="40" t="n">
        <v>232</v>
      </c>
      <c r="JE18" s="40" t="n">
        <v>14</v>
      </c>
      <c r="JF18" s="40" t="n">
        <v>6</v>
      </c>
      <c r="JG18" s="40" t="n">
        <v>2</v>
      </c>
      <c r="JH18" s="40" t="n">
        <v>0.15</v>
      </c>
      <c r="JI18" s="40" t="n">
        <v>6.4</v>
      </c>
      <c r="JJ18" s="40" t="n">
        <v>13</v>
      </c>
      <c r="JK18" s="40" t="n">
        <v>13.3</v>
      </c>
      <c r="JL18" s="40" t="n">
        <v>44.2</v>
      </c>
      <c r="JM18" s="40" t="n">
        <v>126</v>
      </c>
      <c r="JN18" s="40" t="n">
        <v>45</v>
      </c>
      <c r="JO18" s="40" t="n">
        <v>35.7</v>
      </c>
      <c r="JP18" s="40" t="n">
        <v>12.5</v>
      </c>
      <c r="JQ18" s="40" t="n">
        <v>4264</v>
      </c>
      <c r="JR18" s="40" t="n">
        <v>5483</v>
      </c>
      <c r="JS18" s="40" t="n">
        <v>77.8</v>
      </c>
      <c r="JT18" s="40" t="n">
        <v>183</v>
      </c>
      <c r="JU18" s="40" t="n">
        <v>111</v>
      </c>
      <c r="JV18" s="40" t="n">
        <v>91</v>
      </c>
      <c r="JW18" s="40" t="n">
        <v>435</v>
      </c>
      <c r="JX18" s="40" t="n">
        <v>139</v>
      </c>
      <c r="JY18" s="40" t="n">
        <v>125</v>
      </c>
      <c r="JZ18" s="40" t="n">
        <v>22</v>
      </c>
      <c r="KA18" s="40" t="n">
        <v>2</v>
      </c>
      <c r="KB18" s="40" t="n">
        <v>7.6923076923</v>
      </c>
      <c r="KC18" s="40" t="n">
        <v>35.7142857143</v>
      </c>
      <c r="KD18" s="40" t="n">
        <v>77.8</v>
      </c>
      <c r="KE18" s="40" t="n">
        <v>60.6557377049</v>
      </c>
    </row>
    <row r="19">
      <c r="A19" s="40" t="inlineStr">
        <is>
          <t>Leeds United</t>
        </is>
      </c>
      <c r="B19" s="40" t="n">
        <v>18</v>
      </c>
      <c r="C19" s="40" t="n">
        <v>13</v>
      </c>
      <c r="D19" s="40" t="n">
        <v>3</v>
      </c>
      <c r="E19" s="40" t="n">
        <v>2</v>
      </c>
      <c r="F19" s="40" t="n">
        <v>8</v>
      </c>
      <c r="G19" s="40" t="n">
        <v>13</v>
      </c>
      <c r="H19" s="40" t="n">
        <v>25</v>
      </c>
      <c r="I19" s="40" t="n">
        <v>-12</v>
      </c>
      <c r="J19" s="40" t="n">
        <v>11</v>
      </c>
      <c r="K19" s="40" t="n">
        <v>0.85</v>
      </c>
      <c r="L19" s="40" t="n">
        <v>15.9</v>
      </c>
      <c r="M19" s="40" t="n">
        <v>18.8</v>
      </c>
      <c r="N19" s="40" t="n">
        <v>-2.9</v>
      </c>
      <c r="O19" s="40" t="n">
        <v>-0.22</v>
      </c>
      <c r="P19" s="40" t="inlineStr">
        <is>
          <t>W L L L L</t>
        </is>
      </c>
      <c r="Q19" s="40" t="n">
        <v>36739</v>
      </c>
      <c r="R19" s="40" t="inlineStr">
        <is>
          <t>Lukas Nmecha - 4</t>
        </is>
      </c>
      <c r="S19" s="40" t="inlineStr">
        <is>
          <t>Lucas Perri</t>
        </is>
      </c>
      <c r="T19" s="40" t="n">
        <v/>
      </c>
      <c r="U19" s="40" t="n">
        <v>18</v>
      </c>
      <c r="V19" s="40" t="n">
        <v>6</v>
      </c>
      <c r="W19" s="40" t="n">
        <v>2</v>
      </c>
      <c r="X19" s="40" t="n">
        <v>2</v>
      </c>
      <c r="Y19" s="40" t="n">
        <v>2</v>
      </c>
      <c r="Z19" s="40" t="n">
        <v>7</v>
      </c>
      <c r="AA19" s="40" t="n">
        <v>7</v>
      </c>
      <c r="AB19" s="40" t="n">
        <v>0</v>
      </c>
      <c r="AC19" s="40" t="n">
        <v>8</v>
      </c>
      <c r="AD19" s="40" t="n">
        <v>1.33</v>
      </c>
      <c r="AE19" s="40" t="n">
        <v>9.300000000000001</v>
      </c>
      <c r="AF19" s="40" t="n">
        <v>4.8</v>
      </c>
      <c r="AG19" s="40" t="n">
        <v>4.5</v>
      </c>
      <c r="AH19" s="40" t="n">
        <v>0.75</v>
      </c>
      <c r="AI19" s="40" t="n">
        <v>7</v>
      </c>
      <c r="AJ19" s="40" t="n">
        <v>1</v>
      </c>
      <c r="AK19" s="40" t="n">
        <v>0</v>
      </c>
      <c r="AL19" s="40" t="n">
        <v>6</v>
      </c>
      <c r="AM19" s="40" t="n">
        <v>6</v>
      </c>
      <c r="AN19" s="40" t="n">
        <v>18</v>
      </c>
      <c r="AO19" s="40" t="n">
        <v>-12</v>
      </c>
      <c r="AP19" s="40" t="n">
        <v>3</v>
      </c>
      <c r="AQ19" s="40" t="n">
        <v>0.43</v>
      </c>
      <c r="AR19" s="40" t="n">
        <v>6.6</v>
      </c>
      <c r="AS19" s="40" t="n">
        <v>14</v>
      </c>
      <c r="AT19" s="40" t="n">
        <v>-7.4</v>
      </c>
      <c r="AU19" s="40" t="n">
        <v>-1.06</v>
      </c>
      <c r="AV19" s="40" t="n">
        <v>22</v>
      </c>
      <c r="AW19" s="40" t="n">
        <v>27</v>
      </c>
      <c r="AX19" s="40" t="n">
        <v>47.5</v>
      </c>
      <c r="AY19" s="40" t="n">
        <v>13</v>
      </c>
      <c r="AZ19" s="40" t="n">
        <v>143</v>
      </c>
      <c r="BA19" s="40" t="n">
        <v>1170</v>
      </c>
      <c r="BB19" s="40" t="n">
        <v>13</v>
      </c>
      <c r="BC19" s="40" t="n">
        <v>13</v>
      </c>
      <c r="BD19" s="40" t="n">
        <v>4</v>
      </c>
      <c r="BE19" s="40" t="n">
        <v>17</v>
      </c>
      <c r="BF19" s="40" t="n">
        <v>12</v>
      </c>
      <c r="BG19" s="40" t="n">
        <v>1</v>
      </c>
      <c r="BH19" s="40" t="n">
        <v>2</v>
      </c>
      <c r="BI19" s="40" t="n">
        <v>22</v>
      </c>
      <c r="BJ19" s="40" t="n">
        <v>0</v>
      </c>
      <c r="BK19" s="40" t="n">
        <v>15.9</v>
      </c>
      <c r="BL19" s="40" t="n">
        <v>14.2</v>
      </c>
      <c r="BM19" s="40" t="n">
        <v>10.1</v>
      </c>
      <c r="BN19" s="40" t="n">
        <v>24.3</v>
      </c>
      <c r="BO19" s="40" t="n">
        <v>188</v>
      </c>
      <c r="BP19" s="40" t="n">
        <v>395</v>
      </c>
      <c r="BQ19" s="40" t="n">
        <v>1</v>
      </c>
      <c r="BR19" s="40" t="n">
        <v>0.31</v>
      </c>
      <c r="BS19" s="40" t="n">
        <v>1.31</v>
      </c>
      <c r="BT19" s="40" t="n">
        <v>0.92</v>
      </c>
      <c r="BU19" s="40" t="n">
        <v>1.23</v>
      </c>
      <c r="BV19" s="40" t="n">
        <v>1.22</v>
      </c>
      <c r="BW19" s="40" t="n">
        <v>0.77</v>
      </c>
      <c r="BX19" s="40" t="n">
        <v>2</v>
      </c>
      <c r="BY19" s="40" t="n">
        <v>1.09</v>
      </c>
      <c r="BZ19" s="40" t="n">
        <v>1.87</v>
      </c>
      <c r="CA19" s="40" t="n">
        <v>22</v>
      </c>
      <c r="CB19" s="40" t="n">
        <v>13</v>
      </c>
      <c r="CC19" s="40" t="n">
        <v>13</v>
      </c>
      <c r="CD19" s="40" t="n">
        <v>153</v>
      </c>
      <c r="CE19" s="40" t="n">
        <v>43</v>
      </c>
      <c r="CF19" s="40" t="n">
        <v>28.1</v>
      </c>
      <c r="CG19" s="40" t="n">
        <v>11.77</v>
      </c>
      <c r="CH19" s="40" t="n">
        <v>3.31</v>
      </c>
      <c r="CI19" s="40" t="n">
        <v>0.08</v>
      </c>
      <c r="CJ19" s="40" t="n">
        <v>0.28</v>
      </c>
      <c r="CK19" s="40" t="n">
        <v>16</v>
      </c>
      <c r="CL19" s="40" t="n">
        <v>4</v>
      </c>
      <c r="CM19" s="40" t="n">
        <v>1</v>
      </c>
      <c r="CN19" s="40" t="n">
        <v>2</v>
      </c>
      <c r="CO19" s="40" t="n">
        <v>15.9</v>
      </c>
      <c r="CP19" s="40" t="n">
        <v>14.2</v>
      </c>
      <c r="CQ19" s="40" t="n">
        <v>0.1</v>
      </c>
      <c r="CR19" s="40" t="n">
        <v>-2.9</v>
      </c>
      <c r="CS19" s="40" t="n">
        <v>-2.2</v>
      </c>
      <c r="CT19" s="40" t="n">
        <v>22</v>
      </c>
      <c r="CU19" s="40" t="n">
        <v>13</v>
      </c>
      <c r="CV19" s="40" t="n">
        <v>4776</v>
      </c>
      <c r="CW19" s="40" t="n">
        <v>6001</v>
      </c>
      <c r="CX19" s="40" t="n">
        <v>79.59999999999999</v>
      </c>
      <c r="CY19" s="40" t="n">
        <v>85078</v>
      </c>
      <c r="CZ19" s="40" t="n">
        <v>29497</v>
      </c>
      <c r="DA19" s="40" t="n">
        <v>2055</v>
      </c>
      <c r="DB19" s="40" t="n">
        <v>2312</v>
      </c>
      <c r="DC19" s="40" t="n">
        <v>88.90000000000001</v>
      </c>
      <c r="DD19" s="40" t="n">
        <v>2130</v>
      </c>
      <c r="DE19" s="40" t="n">
        <v>2428</v>
      </c>
      <c r="DF19" s="40" t="n">
        <v>87.7</v>
      </c>
      <c r="DG19" s="40" t="n">
        <v>445</v>
      </c>
      <c r="DH19" s="40" t="n">
        <v>906</v>
      </c>
      <c r="DI19" s="40" t="n">
        <v>49.1</v>
      </c>
      <c r="DJ19" s="40" t="n">
        <v>4</v>
      </c>
      <c r="DK19" s="40" t="n">
        <v>10.1</v>
      </c>
      <c r="DL19" s="40" t="n">
        <v>8.5</v>
      </c>
      <c r="DM19" s="40" t="n">
        <v>-6.1</v>
      </c>
      <c r="DN19" s="40" t="n">
        <v>105</v>
      </c>
      <c r="DO19" s="40" t="n">
        <v>355</v>
      </c>
      <c r="DP19" s="40" t="n">
        <v>71</v>
      </c>
      <c r="DQ19" s="40" t="n">
        <v>29</v>
      </c>
      <c r="DR19" s="40" t="n">
        <v>395</v>
      </c>
      <c r="DS19" s="40" t="n">
        <v>22</v>
      </c>
      <c r="DT19" s="40" t="n">
        <v>13</v>
      </c>
      <c r="DU19" s="40" t="n">
        <v>6001</v>
      </c>
      <c r="DV19" s="40" t="n">
        <v>5403</v>
      </c>
      <c r="DW19" s="40" t="n">
        <v>579</v>
      </c>
      <c r="DX19" s="40" t="n">
        <v>172</v>
      </c>
      <c r="DY19" s="40" t="n">
        <v>12</v>
      </c>
      <c r="DZ19" s="40" t="n">
        <v>17</v>
      </c>
      <c r="EA19" s="40" t="n">
        <v>235</v>
      </c>
      <c r="EB19" s="40" t="n">
        <v>210</v>
      </c>
      <c r="EC19" s="40" t="n">
        <v>51</v>
      </c>
      <c r="ED19" s="40" t="n">
        <v>27</v>
      </c>
      <c r="EE19" s="40" t="n">
        <v>19</v>
      </c>
      <c r="EF19" s="40" t="n">
        <v>2</v>
      </c>
      <c r="EG19" s="40" t="n">
        <v>4776</v>
      </c>
      <c r="EH19" s="40" t="n">
        <v>19</v>
      </c>
      <c r="EI19" s="40" t="n">
        <v>123</v>
      </c>
      <c r="EJ19" s="40" t="n">
        <v>22</v>
      </c>
      <c r="EK19" s="40" t="n">
        <v>13</v>
      </c>
      <c r="EL19" s="40" t="n">
        <v>248</v>
      </c>
      <c r="EM19" s="40" t="n">
        <v>151</v>
      </c>
      <c r="EN19" s="40" t="n">
        <v>112</v>
      </c>
      <c r="EO19" s="40" t="n">
        <v>100</v>
      </c>
      <c r="EP19" s="40" t="n">
        <v>36</v>
      </c>
      <c r="EQ19" s="40" t="n">
        <v>126</v>
      </c>
      <c r="ER19" s="40" t="n">
        <v>228</v>
      </c>
      <c r="ES19" s="40" t="n">
        <v>55.3</v>
      </c>
      <c r="ET19" s="40" t="n">
        <v>102</v>
      </c>
      <c r="EU19" s="40" t="n">
        <v>127</v>
      </c>
      <c r="EV19" s="40" t="n">
        <v>36</v>
      </c>
      <c r="EW19" s="40" t="n">
        <v>91</v>
      </c>
      <c r="EX19" s="40" t="n">
        <v>116</v>
      </c>
      <c r="EY19" s="40" t="n">
        <v>364</v>
      </c>
      <c r="EZ19" s="40" t="n">
        <v>345</v>
      </c>
      <c r="FA19" s="40" t="n">
        <v>5</v>
      </c>
      <c r="FB19" s="40" t="n">
        <v>22</v>
      </c>
      <c r="FC19" s="40" t="n">
        <v>47.5</v>
      </c>
      <c r="FD19" s="40" t="n">
        <v>13</v>
      </c>
      <c r="FE19" s="40" t="n">
        <v>7529</v>
      </c>
      <c r="FF19" s="40" t="n">
        <v>842</v>
      </c>
      <c r="FG19" s="40" t="n">
        <v>2623</v>
      </c>
      <c r="FH19" s="40" t="n">
        <v>3445</v>
      </c>
      <c r="FI19" s="40" t="n">
        <v>1546</v>
      </c>
      <c r="FJ19" s="40" t="n">
        <v>263</v>
      </c>
      <c r="FK19" s="40" t="n">
        <v>7527</v>
      </c>
      <c r="FL19" s="40" t="n">
        <v>235</v>
      </c>
      <c r="FM19" s="40" t="n">
        <v>80</v>
      </c>
      <c r="FN19" s="40" t="n">
        <v>34</v>
      </c>
      <c r="FO19" s="40" t="n">
        <v>120</v>
      </c>
      <c r="FP19" s="40" t="n">
        <v>51.1</v>
      </c>
      <c r="FQ19" s="40" t="n">
        <v>4100</v>
      </c>
      <c r="FR19" s="40" t="n">
        <v>21184</v>
      </c>
      <c r="FS19" s="40" t="n">
        <v>11117</v>
      </c>
      <c r="FT19" s="40" t="n">
        <v>188</v>
      </c>
      <c r="FU19" s="40" t="n">
        <v>134</v>
      </c>
      <c r="FV19" s="40" t="n">
        <v>57</v>
      </c>
      <c r="FW19" s="40" t="n">
        <v>198</v>
      </c>
      <c r="FX19" s="40" t="n">
        <v>111</v>
      </c>
      <c r="FY19" s="40" t="n">
        <v>4733</v>
      </c>
      <c r="FZ19" s="40" t="n">
        <v>388</v>
      </c>
      <c r="GA19" s="40" t="n">
        <v>22</v>
      </c>
      <c r="GB19" s="40" t="n">
        <v>27</v>
      </c>
      <c r="GC19" s="40" t="n">
        <v>13</v>
      </c>
      <c r="GD19" s="40" t="n">
        <v>1170</v>
      </c>
      <c r="GE19" s="40" t="n">
        <v>90</v>
      </c>
      <c r="GF19" s="40" t="n">
        <v>100</v>
      </c>
      <c r="GG19" s="40" t="n">
        <v>13</v>
      </c>
      <c r="GH19" s="40" t="n">
        <v>143</v>
      </c>
      <c r="GI19" s="40" t="n">
        <v>82</v>
      </c>
      <c r="GJ19" s="40" t="n">
        <v>85</v>
      </c>
      <c r="GK19" s="40" t="n">
        <v>60</v>
      </c>
      <c r="GL19" s="40" t="n">
        <v>18</v>
      </c>
      <c r="GM19" s="40" t="n">
        <v>57</v>
      </c>
      <c r="GN19" s="40" t="n">
        <v>0.85</v>
      </c>
      <c r="GO19" s="40" t="n">
        <v>13</v>
      </c>
      <c r="GP19" s="40" t="n">
        <v>25</v>
      </c>
      <c r="GQ19" s="40" t="n">
        <v>-12</v>
      </c>
      <c r="GR19" s="40" t="n">
        <v>-0.92</v>
      </c>
      <c r="GS19" s="40" t="n">
        <v>15.9</v>
      </c>
      <c r="GT19" s="40" t="n">
        <v>18.8</v>
      </c>
      <c r="GU19" s="40" t="n">
        <v>-2.9</v>
      </c>
      <c r="GV19" s="40" t="n">
        <v>-0.22</v>
      </c>
      <c r="GW19" s="40" t="n">
        <v>22</v>
      </c>
      <c r="GX19" s="40" t="n">
        <v>13</v>
      </c>
      <c r="GY19" s="40" t="n">
        <v>22</v>
      </c>
      <c r="GZ19" s="40" t="n">
        <v>0</v>
      </c>
      <c r="HA19" s="40" t="n">
        <v>0</v>
      </c>
      <c r="HB19" s="40" t="n">
        <v>139</v>
      </c>
      <c r="HC19" s="40" t="n">
        <v>160</v>
      </c>
      <c r="HD19" s="40" t="n">
        <v>19</v>
      </c>
      <c r="HE19" s="40" t="n">
        <v>235</v>
      </c>
      <c r="HF19" s="40" t="n">
        <v>116</v>
      </c>
      <c r="HG19" s="40" t="n">
        <v>151</v>
      </c>
      <c r="HH19" s="40" t="n">
        <v>1</v>
      </c>
      <c r="HI19" s="40" t="n">
        <v>2</v>
      </c>
      <c r="HJ19" s="40" t="n">
        <v>1</v>
      </c>
      <c r="HK19" s="40" t="n">
        <v>506</v>
      </c>
      <c r="HL19" s="40" t="n">
        <v>192</v>
      </c>
      <c r="HM19" s="40" t="n">
        <v>211</v>
      </c>
      <c r="HN19" s="40" t="n">
        <v>47.6</v>
      </c>
      <c r="HO19" s="40" t="n">
        <v>2</v>
      </c>
      <c r="HP19" s="40" t="n">
        <v>13</v>
      </c>
      <c r="HQ19" s="40" t="n">
        <v>13</v>
      </c>
      <c r="HR19" s="40" t="n">
        <v>1170</v>
      </c>
      <c r="HS19" s="40" t="n">
        <v>13</v>
      </c>
      <c r="HT19" s="40" t="n">
        <v>25</v>
      </c>
      <c r="HU19" s="40" t="n">
        <v>1.92</v>
      </c>
      <c r="HV19" s="40" t="n">
        <v>56</v>
      </c>
      <c r="HW19" s="40" t="n">
        <v>32</v>
      </c>
      <c r="HX19" s="40" t="n">
        <v>58.9</v>
      </c>
      <c r="HY19" s="40" t="n">
        <v>3</v>
      </c>
      <c r="HZ19" s="40" t="n">
        <v>2</v>
      </c>
      <c r="IA19" s="40" t="n">
        <v>8</v>
      </c>
      <c r="IB19" s="40" t="n">
        <v>2</v>
      </c>
      <c r="IC19" s="40" t="n">
        <v>15.4</v>
      </c>
      <c r="ID19" s="40" t="n">
        <v>2</v>
      </c>
      <c r="IE19" s="40" t="n">
        <v>2</v>
      </c>
      <c r="IF19" s="40" t="n">
        <v>0</v>
      </c>
      <c r="IG19" s="40" t="n">
        <v>0</v>
      </c>
      <c r="IH19" s="40" t="n">
        <v>0</v>
      </c>
      <c r="II19" s="40" t="n">
        <v>2</v>
      </c>
      <c r="IJ19" s="40" t="n">
        <v>13</v>
      </c>
      <c r="IK19" s="40" t="n">
        <v>25</v>
      </c>
      <c r="IL19" s="40" t="n">
        <v>2</v>
      </c>
      <c r="IM19" s="40" t="n">
        <v>2</v>
      </c>
      <c r="IN19" s="40" t="n">
        <v>3</v>
      </c>
      <c r="IO19" s="40" t="n">
        <v>1</v>
      </c>
      <c r="IP19" s="40" t="n">
        <v>20.5</v>
      </c>
      <c r="IQ19" s="40" t="n">
        <v>0.35</v>
      </c>
      <c r="IR19" s="40" t="n">
        <v>-3.5</v>
      </c>
      <c r="IS19" s="40" t="n">
        <v>-0.27</v>
      </c>
      <c r="IT19" s="40" t="n">
        <v>69</v>
      </c>
      <c r="IU19" s="40" t="n">
        <v>255</v>
      </c>
      <c r="IV19" s="40" t="n">
        <v>27.1</v>
      </c>
      <c r="IW19" s="40" t="n">
        <v>408</v>
      </c>
      <c r="IX19" s="40" t="n">
        <v>60</v>
      </c>
      <c r="IY19" s="40" t="n">
        <v>49.3</v>
      </c>
      <c r="IZ19" s="40" t="n">
        <v>37.7</v>
      </c>
      <c r="JA19" s="40" t="n">
        <v>108</v>
      </c>
      <c r="JB19" s="40" t="n">
        <v>50</v>
      </c>
      <c r="JC19" s="40" t="n">
        <v>39</v>
      </c>
      <c r="JD19" s="40" t="n">
        <v>193</v>
      </c>
      <c r="JE19" s="40" t="n">
        <v>9</v>
      </c>
      <c r="JF19" s="40" t="n">
        <v>4.7</v>
      </c>
      <c r="JG19" s="40" t="n">
        <v>7</v>
      </c>
      <c r="JH19" s="40" t="n">
        <v>0.54</v>
      </c>
      <c r="JI19" s="40" t="n">
        <v>11.4</v>
      </c>
      <c r="JJ19" s="40" t="n">
        <v>13</v>
      </c>
      <c r="JK19" s="40" t="n">
        <v>15.9</v>
      </c>
      <c r="JL19" s="40" t="n">
        <v>47.5</v>
      </c>
      <c r="JM19" s="40" t="n">
        <v>153</v>
      </c>
      <c r="JN19" s="40" t="n">
        <v>43</v>
      </c>
      <c r="JO19" s="40" t="n">
        <v>28.1</v>
      </c>
      <c r="JP19" s="40" t="n">
        <v>14.2</v>
      </c>
      <c r="JQ19" s="40" t="n">
        <v>4776</v>
      </c>
      <c r="JR19" s="40" t="n">
        <v>6001</v>
      </c>
      <c r="JS19" s="40" t="n">
        <v>79.59999999999999</v>
      </c>
      <c r="JT19" s="40" t="n">
        <v>248</v>
      </c>
      <c r="JU19" s="40" t="n">
        <v>151</v>
      </c>
      <c r="JV19" s="40" t="n">
        <v>116</v>
      </c>
      <c r="JW19" s="40" t="n">
        <v>345</v>
      </c>
      <c r="JX19" s="40" t="n">
        <v>139</v>
      </c>
      <c r="JY19" s="40" t="n">
        <v>160</v>
      </c>
      <c r="JZ19" s="40" t="n">
        <v>22</v>
      </c>
      <c r="KA19" s="40" t="n">
        <v>0</v>
      </c>
      <c r="KB19" s="40" t="n">
        <v>15.3846153846</v>
      </c>
      <c r="KC19" s="40" t="n">
        <v>28.1045751634</v>
      </c>
      <c r="KD19" s="40" t="n">
        <v>79.59999999999999</v>
      </c>
      <c r="KE19" s="40" t="n">
        <v>60.8870967742</v>
      </c>
    </row>
    <row r="20">
      <c r="A20" s="40" t="inlineStr">
        <is>
          <t>Burnley</t>
        </is>
      </c>
      <c r="B20" s="40" t="n">
        <v>19</v>
      </c>
      <c r="C20" s="40" t="n">
        <v>13</v>
      </c>
      <c r="D20" s="40" t="n">
        <v>3</v>
      </c>
      <c r="E20" s="40" t="n">
        <v>1</v>
      </c>
      <c r="F20" s="40" t="n">
        <v>9</v>
      </c>
      <c r="G20" s="40" t="n">
        <v>15</v>
      </c>
      <c r="H20" s="40" t="n">
        <v>27</v>
      </c>
      <c r="I20" s="40" t="n">
        <v>-12</v>
      </c>
      <c r="J20" s="40" t="n">
        <v>10</v>
      </c>
      <c r="K20" s="40" t="n">
        <v>0.77</v>
      </c>
      <c r="L20" s="40" t="n">
        <v>9.5</v>
      </c>
      <c r="M20" s="40" t="n">
        <v>28.1</v>
      </c>
      <c r="N20" s="40" t="n">
        <v>-18.6</v>
      </c>
      <c r="O20" s="40" t="n">
        <v>-1.43</v>
      </c>
      <c r="P20" s="40" t="inlineStr">
        <is>
          <t>W L L L L</t>
        </is>
      </c>
      <c r="Q20" s="40" t="n">
        <v>21520</v>
      </c>
      <c r="R20" s="40" t="inlineStr">
        <is>
          <t>Zian Flemming, Jaidon Anthony - 4</t>
        </is>
      </c>
      <c r="S20" s="40" t="inlineStr">
        <is>
          <t>Martin Dúbravka</t>
        </is>
      </c>
      <c r="T20" s="40" t="n">
        <v/>
      </c>
      <c r="U20" s="40" t="n">
        <v>19</v>
      </c>
      <c r="V20" s="40" t="n">
        <v>6</v>
      </c>
      <c r="W20" s="40" t="n">
        <v>2</v>
      </c>
      <c r="X20" s="40" t="n">
        <v>1</v>
      </c>
      <c r="Y20" s="40" t="n">
        <v>3</v>
      </c>
      <c r="Z20" s="40" t="n">
        <v>5</v>
      </c>
      <c r="AA20" s="40" t="n">
        <v>6</v>
      </c>
      <c r="AB20" s="40" t="n">
        <v>-1</v>
      </c>
      <c r="AC20" s="40" t="n">
        <v>7</v>
      </c>
      <c r="AD20" s="40" t="n">
        <v>1.17</v>
      </c>
      <c r="AE20" s="40" t="n">
        <v>3.2</v>
      </c>
      <c r="AF20" s="40" t="n">
        <v>10.9</v>
      </c>
      <c r="AG20" s="40" t="n">
        <v>-7.7</v>
      </c>
      <c r="AH20" s="40" t="n">
        <v>-1.28</v>
      </c>
      <c r="AI20" s="40" t="n">
        <v>7</v>
      </c>
      <c r="AJ20" s="40" t="n">
        <v>1</v>
      </c>
      <c r="AK20" s="40" t="n">
        <v>0</v>
      </c>
      <c r="AL20" s="40" t="n">
        <v>6</v>
      </c>
      <c r="AM20" s="40" t="n">
        <v>10</v>
      </c>
      <c r="AN20" s="40" t="n">
        <v>21</v>
      </c>
      <c r="AO20" s="40" t="n">
        <v>-11</v>
      </c>
      <c r="AP20" s="40" t="n">
        <v>3</v>
      </c>
      <c r="AQ20" s="40" t="n">
        <v>0.43</v>
      </c>
      <c r="AR20" s="40" t="n">
        <v>6.3</v>
      </c>
      <c r="AS20" s="40" t="n">
        <v>17.2</v>
      </c>
      <c r="AT20" s="40" t="n">
        <v>-10.9</v>
      </c>
      <c r="AU20" s="40" t="n">
        <v>-1.56</v>
      </c>
      <c r="AV20" s="40" t="n">
        <v>23</v>
      </c>
      <c r="AW20" s="40" t="n">
        <v>27.7</v>
      </c>
      <c r="AX20" s="40" t="n">
        <v>40</v>
      </c>
      <c r="AY20" s="40" t="n">
        <v>13</v>
      </c>
      <c r="AZ20" s="40" t="n">
        <v>143</v>
      </c>
      <c r="BA20" s="40" t="n">
        <v>1170</v>
      </c>
      <c r="BB20" s="40" t="n">
        <v>13</v>
      </c>
      <c r="BC20" s="40" t="n">
        <v>15</v>
      </c>
      <c r="BD20" s="40" t="n">
        <v>11</v>
      </c>
      <c r="BE20" s="40" t="n">
        <v>26</v>
      </c>
      <c r="BF20" s="40" t="n">
        <v>14</v>
      </c>
      <c r="BG20" s="40" t="n">
        <v>1</v>
      </c>
      <c r="BH20" s="40" t="n">
        <v>1</v>
      </c>
      <c r="BI20" s="40" t="n">
        <v>22</v>
      </c>
      <c r="BJ20" s="40" t="n">
        <v>1</v>
      </c>
      <c r="BK20" s="40" t="n">
        <v>9.5</v>
      </c>
      <c r="BL20" s="40" t="n">
        <v>8.699999999999999</v>
      </c>
      <c r="BM20" s="40" t="n">
        <v>6.7</v>
      </c>
      <c r="BN20" s="40" t="n">
        <v>15.5</v>
      </c>
      <c r="BO20" s="40" t="n">
        <v>114</v>
      </c>
      <c r="BP20" s="40" t="n">
        <v>298</v>
      </c>
      <c r="BQ20" s="40" t="n">
        <v>1.15</v>
      </c>
      <c r="BR20" s="40" t="n">
        <v>0.85</v>
      </c>
      <c r="BS20" s="40" t="n">
        <v>2</v>
      </c>
      <c r="BT20" s="40" t="n">
        <v>1.08</v>
      </c>
      <c r="BU20" s="40" t="n">
        <v>1.92</v>
      </c>
      <c r="BV20" s="40" t="n">
        <v>0.73</v>
      </c>
      <c r="BW20" s="40" t="n">
        <v>0.52</v>
      </c>
      <c r="BX20" s="40" t="n">
        <v>1.25</v>
      </c>
      <c r="BY20" s="40" t="n">
        <v>0.67</v>
      </c>
      <c r="BZ20" s="40" t="n">
        <v>1.19</v>
      </c>
      <c r="CA20" s="40" t="n">
        <v>23</v>
      </c>
      <c r="CB20" s="40" t="n">
        <v>13</v>
      </c>
      <c r="CC20" s="40" t="n">
        <v>15</v>
      </c>
      <c r="CD20" s="40" t="n">
        <v>103</v>
      </c>
      <c r="CE20" s="40" t="n">
        <v>38</v>
      </c>
      <c r="CF20" s="40" t="n">
        <v>36.9</v>
      </c>
      <c r="CG20" s="40" t="n">
        <v>7.92</v>
      </c>
      <c r="CH20" s="40" t="n">
        <v>2.92</v>
      </c>
      <c r="CI20" s="40" t="n">
        <v>0.14</v>
      </c>
      <c r="CJ20" s="40" t="n">
        <v>0.37</v>
      </c>
      <c r="CK20" s="40" t="n">
        <v>18.2</v>
      </c>
      <c r="CL20" s="40" t="n">
        <v>7</v>
      </c>
      <c r="CM20" s="40" t="n">
        <v>1</v>
      </c>
      <c r="CN20" s="40" t="n">
        <v>1</v>
      </c>
      <c r="CO20" s="40" t="n">
        <v>9.5</v>
      </c>
      <c r="CP20" s="40" t="n">
        <v>8.699999999999999</v>
      </c>
      <c r="CQ20" s="40" t="n">
        <v>0.09</v>
      </c>
      <c r="CR20" s="40" t="n">
        <v>5.5</v>
      </c>
      <c r="CS20" s="40" t="n">
        <v>5.3</v>
      </c>
      <c r="CT20" s="40" t="n">
        <v>23</v>
      </c>
      <c r="CU20" s="40" t="n">
        <v>13</v>
      </c>
      <c r="CV20" s="40" t="n">
        <v>3809</v>
      </c>
      <c r="CW20" s="40" t="n">
        <v>5088</v>
      </c>
      <c r="CX20" s="40" t="n">
        <v>74.90000000000001</v>
      </c>
      <c r="CY20" s="40" t="n">
        <v>65824</v>
      </c>
      <c r="CZ20" s="40" t="n">
        <v>24596</v>
      </c>
      <c r="DA20" s="40" t="n">
        <v>1877</v>
      </c>
      <c r="DB20" s="40" t="n">
        <v>2120</v>
      </c>
      <c r="DC20" s="40" t="n">
        <v>88.5</v>
      </c>
      <c r="DD20" s="40" t="n">
        <v>1449</v>
      </c>
      <c r="DE20" s="40" t="n">
        <v>1751</v>
      </c>
      <c r="DF20" s="40" t="n">
        <v>82.8</v>
      </c>
      <c r="DG20" s="40" t="n">
        <v>358</v>
      </c>
      <c r="DH20" s="40" t="n">
        <v>867</v>
      </c>
      <c r="DI20" s="40" t="n">
        <v>41.3</v>
      </c>
      <c r="DJ20" s="40" t="n">
        <v>11</v>
      </c>
      <c r="DK20" s="40" t="n">
        <v>6.7</v>
      </c>
      <c r="DL20" s="40" t="n">
        <v>6.9</v>
      </c>
      <c r="DM20" s="40" t="n">
        <v>4.3</v>
      </c>
      <c r="DN20" s="40" t="n">
        <v>73</v>
      </c>
      <c r="DO20" s="40" t="n">
        <v>286</v>
      </c>
      <c r="DP20" s="40" t="n">
        <v>62</v>
      </c>
      <c r="DQ20" s="40" t="n">
        <v>20</v>
      </c>
      <c r="DR20" s="40" t="n">
        <v>298</v>
      </c>
      <c r="DS20" s="40" t="n">
        <v>23</v>
      </c>
      <c r="DT20" s="40" t="n">
        <v>13</v>
      </c>
      <c r="DU20" s="40" t="n">
        <v>5088</v>
      </c>
      <c r="DV20" s="40" t="n">
        <v>4503</v>
      </c>
      <c r="DW20" s="40" t="n">
        <v>565</v>
      </c>
      <c r="DX20" s="40" t="n">
        <v>134</v>
      </c>
      <c r="DY20" s="40" t="n">
        <v>16</v>
      </c>
      <c r="DZ20" s="40" t="n">
        <v>50</v>
      </c>
      <c r="EA20" s="40" t="n">
        <v>146</v>
      </c>
      <c r="EB20" s="40" t="n">
        <v>211</v>
      </c>
      <c r="EC20" s="40" t="n">
        <v>37</v>
      </c>
      <c r="ED20" s="40" t="n">
        <v>29</v>
      </c>
      <c r="EE20" s="40" t="n">
        <v>2</v>
      </c>
      <c r="EF20" s="40" t="n">
        <v>1</v>
      </c>
      <c r="EG20" s="40" t="n">
        <v>3809</v>
      </c>
      <c r="EH20" s="40" t="n">
        <v>20</v>
      </c>
      <c r="EI20" s="40" t="n">
        <v>122</v>
      </c>
      <c r="EJ20" s="40" t="n">
        <v>23</v>
      </c>
      <c r="EK20" s="40" t="n">
        <v>13</v>
      </c>
      <c r="EL20" s="40" t="n">
        <v>227</v>
      </c>
      <c r="EM20" s="40" t="n">
        <v>128</v>
      </c>
      <c r="EN20" s="40" t="n">
        <v>108</v>
      </c>
      <c r="EO20" s="40" t="n">
        <v>92</v>
      </c>
      <c r="EP20" s="40" t="n">
        <v>27</v>
      </c>
      <c r="EQ20" s="40" t="n">
        <v>101</v>
      </c>
      <c r="ER20" s="40" t="n">
        <v>195</v>
      </c>
      <c r="ES20" s="40" t="n">
        <v>51.8</v>
      </c>
      <c r="ET20" s="40" t="n">
        <v>94</v>
      </c>
      <c r="EU20" s="40" t="n">
        <v>168</v>
      </c>
      <c r="EV20" s="40" t="n">
        <v>61</v>
      </c>
      <c r="EW20" s="40" t="n">
        <v>107</v>
      </c>
      <c r="EX20" s="40" t="n">
        <v>128</v>
      </c>
      <c r="EY20" s="40" t="n">
        <v>355</v>
      </c>
      <c r="EZ20" s="40" t="n">
        <v>437</v>
      </c>
      <c r="FA20" s="40" t="n">
        <v>10</v>
      </c>
      <c r="FB20" s="40" t="n">
        <v>23</v>
      </c>
      <c r="FC20" s="40" t="n">
        <v>40</v>
      </c>
      <c r="FD20" s="40" t="n">
        <v>13</v>
      </c>
      <c r="FE20" s="40" t="n">
        <v>6656</v>
      </c>
      <c r="FF20" s="40" t="n">
        <v>978</v>
      </c>
      <c r="FG20" s="40" t="n">
        <v>2506</v>
      </c>
      <c r="FH20" s="40" t="n">
        <v>2852</v>
      </c>
      <c r="FI20" s="40" t="n">
        <v>1344</v>
      </c>
      <c r="FJ20" s="40" t="n">
        <v>190</v>
      </c>
      <c r="FK20" s="40" t="n">
        <v>6655</v>
      </c>
      <c r="FL20" s="40" t="n">
        <v>143</v>
      </c>
      <c r="FM20" s="40" t="n">
        <v>46</v>
      </c>
      <c r="FN20" s="40" t="n">
        <v>32.2</v>
      </c>
      <c r="FO20" s="40" t="n">
        <v>76</v>
      </c>
      <c r="FP20" s="40" t="n">
        <v>53.1</v>
      </c>
      <c r="FQ20" s="40" t="n">
        <v>3330</v>
      </c>
      <c r="FR20" s="40" t="n">
        <v>14154</v>
      </c>
      <c r="FS20" s="40" t="n">
        <v>7158</v>
      </c>
      <c r="FT20" s="40" t="n">
        <v>114</v>
      </c>
      <c r="FU20" s="40" t="n">
        <v>87</v>
      </c>
      <c r="FV20" s="40" t="n">
        <v>33</v>
      </c>
      <c r="FW20" s="40" t="n">
        <v>173</v>
      </c>
      <c r="FX20" s="40" t="n">
        <v>95</v>
      </c>
      <c r="FY20" s="40" t="n">
        <v>3784</v>
      </c>
      <c r="FZ20" s="40" t="n">
        <v>293</v>
      </c>
      <c r="GA20" s="40" t="n">
        <v>23</v>
      </c>
      <c r="GB20" s="40" t="n">
        <v>27.7</v>
      </c>
      <c r="GC20" s="40" t="n">
        <v>13</v>
      </c>
      <c r="GD20" s="40" t="n">
        <v>1170</v>
      </c>
      <c r="GE20" s="40" t="n">
        <v>90</v>
      </c>
      <c r="GF20" s="40" t="n">
        <v>100</v>
      </c>
      <c r="GG20" s="40" t="n">
        <v>13</v>
      </c>
      <c r="GH20" s="40" t="n">
        <v>143</v>
      </c>
      <c r="GI20" s="40" t="n">
        <v>84</v>
      </c>
      <c r="GJ20" s="40" t="n">
        <v>84</v>
      </c>
      <c r="GK20" s="40" t="n">
        <v>58</v>
      </c>
      <c r="GL20" s="40" t="n">
        <v>16</v>
      </c>
      <c r="GM20" s="40" t="n">
        <v>59</v>
      </c>
      <c r="GN20" s="40" t="n">
        <v>0.77</v>
      </c>
      <c r="GO20" s="40" t="n">
        <v>15</v>
      </c>
      <c r="GP20" s="40" t="n">
        <v>27</v>
      </c>
      <c r="GQ20" s="40" t="n">
        <v>-12</v>
      </c>
      <c r="GR20" s="40" t="n">
        <v>-0.92</v>
      </c>
      <c r="GS20" s="40" t="n">
        <v>9.5</v>
      </c>
      <c r="GT20" s="40" t="n">
        <v>28.1</v>
      </c>
      <c r="GU20" s="40" t="n">
        <v>-18.6</v>
      </c>
      <c r="GV20" s="40" t="n">
        <v>-1.43</v>
      </c>
      <c r="GW20" s="40" t="n">
        <v>23</v>
      </c>
      <c r="GX20" s="40" t="n">
        <v>13</v>
      </c>
      <c r="GY20" s="40" t="n">
        <v>22</v>
      </c>
      <c r="GZ20" s="40" t="n">
        <v>1</v>
      </c>
      <c r="HA20" s="40" t="n">
        <v>1</v>
      </c>
      <c r="HB20" s="40" t="n">
        <v>129</v>
      </c>
      <c r="HC20" s="40" t="n">
        <v>120</v>
      </c>
      <c r="HD20" s="40" t="n">
        <v>20</v>
      </c>
      <c r="HE20" s="40" t="n">
        <v>146</v>
      </c>
      <c r="HF20" s="40" t="n">
        <v>128</v>
      </c>
      <c r="HG20" s="40" t="n">
        <v>128</v>
      </c>
      <c r="HH20" s="40" t="n">
        <v>1</v>
      </c>
      <c r="HI20" s="40" t="n">
        <v>4</v>
      </c>
      <c r="HJ20" s="40" t="n">
        <v>3</v>
      </c>
      <c r="HK20" s="40" t="n">
        <v>431</v>
      </c>
      <c r="HL20" s="40" t="n">
        <v>205</v>
      </c>
      <c r="HM20" s="40" t="n">
        <v>240</v>
      </c>
      <c r="HN20" s="40" t="n">
        <v>46.1</v>
      </c>
      <c r="HO20" s="40" t="n">
        <v>1</v>
      </c>
      <c r="HP20" s="40" t="n">
        <v>13</v>
      </c>
      <c r="HQ20" s="40" t="n">
        <v>13</v>
      </c>
      <c r="HR20" s="40" t="n">
        <v>1170</v>
      </c>
      <c r="HS20" s="40" t="n">
        <v>13</v>
      </c>
      <c r="HT20" s="40" t="n">
        <v>27</v>
      </c>
      <c r="HU20" s="40" t="n">
        <v>2.08</v>
      </c>
      <c r="HV20" s="40" t="n">
        <v>73</v>
      </c>
      <c r="HW20" s="40" t="n">
        <v>49</v>
      </c>
      <c r="HX20" s="40" t="n">
        <v>68.5</v>
      </c>
      <c r="HY20" s="40" t="n">
        <v>3</v>
      </c>
      <c r="HZ20" s="40" t="n">
        <v>1</v>
      </c>
      <c r="IA20" s="40" t="n">
        <v>9</v>
      </c>
      <c r="IB20" s="40" t="n">
        <v>2</v>
      </c>
      <c r="IC20" s="40" t="n">
        <v>15.4</v>
      </c>
      <c r="ID20" s="40" t="n">
        <v>4</v>
      </c>
      <c r="IE20" s="40" t="n">
        <v>4</v>
      </c>
      <c r="IF20" s="40" t="n">
        <v>0</v>
      </c>
      <c r="IG20" s="40" t="n">
        <v>0</v>
      </c>
      <c r="IH20" s="40" t="n">
        <v>0</v>
      </c>
      <c r="II20" s="40" t="n">
        <v>1</v>
      </c>
      <c r="IJ20" s="40" t="n">
        <v>13</v>
      </c>
      <c r="IK20" s="40" t="n">
        <v>27</v>
      </c>
      <c r="IL20" s="40" t="n">
        <v>4</v>
      </c>
      <c r="IM20" s="40" t="n">
        <v>0</v>
      </c>
      <c r="IN20" s="40" t="n">
        <v>4</v>
      </c>
      <c r="IO20" s="40" t="n">
        <v>3</v>
      </c>
      <c r="IP20" s="40" t="n">
        <v>25.7</v>
      </c>
      <c r="IQ20" s="40" t="n">
        <v>0.31</v>
      </c>
      <c r="IR20" s="40" t="n">
        <v>1.7</v>
      </c>
      <c r="IS20" s="40" t="n">
        <v>0.13</v>
      </c>
      <c r="IT20" s="40" t="n">
        <v>86</v>
      </c>
      <c r="IU20" s="40" t="n">
        <v>297</v>
      </c>
      <c r="IV20" s="40" t="n">
        <v>29</v>
      </c>
      <c r="IW20" s="40" t="n">
        <v>344</v>
      </c>
      <c r="IX20" s="40" t="n">
        <v>61</v>
      </c>
      <c r="IY20" s="40" t="n">
        <v>48.5</v>
      </c>
      <c r="IZ20" s="40" t="n">
        <v>36.7</v>
      </c>
      <c r="JA20" s="40" t="n">
        <v>143</v>
      </c>
      <c r="JB20" s="40" t="n">
        <v>90.90000000000001</v>
      </c>
      <c r="JC20" s="40" t="n">
        <v>63.8</v>
      </c>
      <c r="JD20" s="40" t="n">
        <v>260</v>
      </c>
      <c r="JE20" s="40" t="n">
        <v>10</v>
      </c>
      <c r="JF20" s="40" t="n">
        <v>3.8</v>
      </c>
      <c r="JG20" s="40" t="n">
        <v>4</v>
      </c>
      <c r="JH20" s="40" t="n">
        <v>0.31</v>
      </c>
      <c r="JI20" s="40" t="n">
        <v>8.6</v>
      </c>
      <c r="JJ20" s="40" t="n">
        <v>13</v>
      </c>
      <c r="JK20" s="40" t="n">
        <v>9.5</v>
      </c>
      <c r="JL20" s="40" t="n">
        <v>40</v>
      </c>
      <c r="JM20" s="40" t="n">
        <v>103</v>
      </c>
      <c r="JN20" s="40" t="n">
        <v>38</v>
      </c>
      <c r="JO20" s="40" t="n">
        <v>36.9</v>
      </c>
      <c r="JP20" s="40" t="n">
        <v>8.699999999999999</v>
      </c>
      <c r="JQ20" s="40" t="n">
        <v>3809</v>
      </c>
      <c r="JR20" s="40" t="n">
        <v>5088</v>
      </c>
      <c r="JS20" s="40" t="n">
        <v>74.90000000000001</v>
      </c>
      <c r="JT20" s="40" t="n">
        <v>227</v>
      </c>
      <c r="JU20" s="40" t="n">
        <v>128</v>
      </c>
      <c r="JV20" s="40" t="n">
        <v>128</v>
      </c>
      <c r="JW20" s="40" t="n">
        <v>437</v>
      </c>
      <c r="JX20" s="40" t="n">
        <v>129</v>
      </c>
      <c r="JY20" s="40" t="n">
        <v>120</v>
      </c>
      <c r="JZ20" s="40" t="n">
        <v>22</v>
      </c>
      <c r="KA20" s="40" t="n">
        <v>1</v>
      </c>
      <c r="KB20" s="40" t="n">
        <v>15.3846153846</v>
      </c>
      <c r="KC20" s="40" t="n">
        <v>36.8932038835</v>
      </c>
      <c r="KD20" s="40" t="n">
        <v>74.90000000000001</v>
      </c>
      <c r="KE20" s="40" t="n">
        <v>56.3876651982</v>
      </c>
    </row>
    <row r="21">
      <c r="A21" s="40" t="inlineStr">
        <is>
          <t>Wolves</t>
        </is>
      </c>
      <c r="B21" s="40" t="n">
        <v>20</v>
      </c>
      <c r="C21" s="40" t="n">
        <v>13</v>
      </c>
      <c r="D21" s="40" t="n">
        <v>0</v>
      </c>
      <c r="E21" s="40" t="n">
        <v>2</v>
      </c>
      <c r="F21" s="40" t="n">
        <v>11</v>
      </c>
      <c r="G21" s="40" t="n">
        <v>7</v>
      </c>
      <c r="H21" s="40" t="n">
        <v>28</v>
      </c>
      <c r="I21" s="40" t="n">
        <v>-21</v>
      </c>
      <c r="J21" s="40" t="n">
        <v>2</v>
      </c>
      <c r="K21" s="40" t="n">
        <v>0.15</v>
      </c>
      <c r="L21" s="40" t="n">
        <v>11.8</v>
      </c>
      <c r="M21" s="40" t="n">
        <v>18.2</v>
      </c>
      <c r="N21" s="40" t="n">
        <v>-6.4</v>
      </c>
      <c r="O21" s="40" t="n">
        <v>-0.49</v>
      </c>
      <c r="P21" s="40" t="inlineStr">
        <is>
          <t>L L L L L</t>
        </is>
      </c>
      <c r="Q21" s="40" t="n">
        <v>30188</v>
      </c>
      <c r="R21" s="40" t="inlineStr">
        <is>
          <t>Hwang Hee-chan, Santiago Bueno... - 1</t>
        </is>
      </c>
      <c r="S21" s="40" t="inlineStr">
        <is>
          <t>Sam Johnstone</t>
        </is>
      </c>
      <c r="T21" s="40" t="n">
        <v/>
      </c>
      <c r="U21" s="40" t="n">
        <v>20</v>
      </c>
      <c r="V21" s="40" t="n">
        <v>6</v>
      </c>
      <c r="W21" s="40" t="n">
        <v>0</v>
      </c>
      <c r="X21" s="40" t="n">
        <v>1</v>
      </c>
      <c r="Y21" s="40" t="n">
        <v>5</v>
      </c>
      <c r="Z21" s="40" t="n">
        <v>6</v>
      </c>
      <c r="AA21" s="40" t="n">
        <v>16</v>
      </c>
      <c r="AB21" s="40" t="n">
        <v>-10</v>
      </c>
      <c r="AC21" s="40" t="n">
        <v>1</v>
      </c>
      <c r="AD21" s="40" t="n">
        <v>0.17</v>
      </c>
      <c r="AE21" s="40" t="n">
        <v>8.1</v>
      </c>
      <c r="AF21" s="40" t="n">
        <v>8.4</v>
      </c>
      <c r="AG21" s="40" t="n">
        <v>-0.4</v>
      </c>
      <c r="AH21" s="40" t="n">
        <v>-0.06</v>
      </c>
      <c r="AI21" s="40" t="n">
        <v>7</v>
      </c>
      <c r="AJ21" s="40" t="n">
        <v>0</v>
      </c>
      <c r="AK21" s="40" t="n">
        <v>1</v>
      </c>
      <c r="AL21" s="40" t="n">
        <v>6</v>
      </c>
      <c r="AM21" s="40" t="n">
        <v>1</v>
      </c>
      <c r="AN21" s="40" t="n">
        <v>12</v>
      </c>
      <c r="AO21" s="40" t="n">
        <v>-11</v>
      </c>
      <c r="AP21" s="40" t="n">
        <v>1</v>
      </c>
      <c r="AQ21" s="40" t="n">
        <v>0.14</v>
      </c>
      <c r="AR21" s="40" t="n">
        <v>3.8</v>
      </c>
      <c r="AS21" s="40" t="n">
        <v>9.800000000000001</v>
      </c>
      <c r="AT21" s="40" t="n">
        <v>-6</v>
      </c>
      <c r="AU21" s="40" t="n">
        <v>-0.86</v>
      </c>
      <c r="AV21" s="40" t="n">
        <v>25</v>
      </c>
      <c r="AW21" s="40" t="n">
        <v>26.8</v>
      </c>
      <c r="AX21" s="40" t="n">
        <v>47.3</v>
      </c>
      <c r="AY21" s="40" t="n">
        <v>13</v>
      </c>
      <c r="AZ21" s="40" t="n">
        <v>143</v>
      </c>
      <c r="BA21" s="40" t="n">
        <v>1170</v>
      </c>
      <c r="BB21" s="40" t="n">
        <v>13</v>
      </c>
      <c r="BC21" s="40" t="n">
        <v>6</v>
      </c>
      <c r="BD21" s="40" t="n">
        <v>4</v>
      </c>
      <c r="BE21" s="40" t="n">
        <v>10</v>
      </c>
      <c r="BF21" s="40" t="n">
        <v>5</v>
      </c>
      <c r="BG21" s="40" t="n">
        <v>1</v>
      </c>
      <c r="BH21" s="40" t="n">
        <v>1</v>
      </c>
      <c r="BI21" s="40" t="n">
        <v>26</v>
      </c>
      <c r="BJ21" s="40" t="n">
        <v>2</v>
      </c>
      <c r="BK21" s="40" t="n">
        <v>11.8</v>
      </c>
      <c r="BL21" s="40" t="n">
        <v>11</v>
      </c>
      <c r="BM21" s="40" t="n">
        <v>7.3</v>
      </c>
      <c r="BN21" s="40" t="n">
        <v>18.3</v>
      </c>
      <c r="BO21" s="40" t="n">
        <v>182</v>
      </c>
      <c r="BP21" s="40" t="n">
        <v>383</v>
      </c>
      <c r="BQ21" s="40" t="n">
        <v>0.46</v>
      </c>
      <c r="BR21" s="40" t="n">
        <v>0.31</v>
      </c>
      <c r="BS21" s="40" t="n">
        <v>0.77</v>
      </c>
      <c r="BT21" s="40" t="n">
        <v>0.38</v>
      </c>
      <c r="BU21" s="40" t="n">
        <v>0.6899999999999999</v>
      </c>
      <c r="BV21" s="40" t="n">
        <v>0.91</v>
      </c>
      <c r="BW21" s="40" t="n">
        <v>0.5600000000000001</v>
      </c>
      <c r="BX21" s="40" t="n">
        <v>1.47</v>
      </c>
      <c r="BY21" s="40" t="n">
        <v>0.85</v>
      </c>
      <c r="BZ21" s="40" t="n">
        <v>1.41</v>
      </c>
      <c r="CA21" s="40" t="n">
        <v>25</v>
      </c>
      <c r="CB21" s="40" t="n">
        <v>13</v>
      </c>
      <c r="CC21" s="40" t="n">
        <v>6</v>
      </c>
      <c r="CD21" s="40" t="n">
        <v>121</v>
      </c>
      <c r="CE21" s="40" t="n">
        <v>39</v>
      </c>
      <c r="CF21" s="40" t="n">
        <v>32.2</v>
      </c>
      <c r="CG21" s="40" t="n">
        <v>9.31</v>
      </c>
      <c r="CH21" s="40" t="n">
        <v>3</v>
      </c>
      <c r="CI21" s="40" t="n">
        <v>0.04</v>
      </c>
      <c r="CJ21" s="40" t="n">
        <v>0.13</v>
      </c>
      <c r="CK21" s="40" t="n">
        <v>17.3</v>
      </c>
      <c r="CL21" s="40" t="n">
        <v>7</v>
      </c>
      <c r="CM21" s="40" t="n">
        <v>1</v>
      </c>
      <c r="CN21" s="40" t="n">
        <v>1</v>
      </c>
      <c r="CO21" s="40" t="n">
        <v>11.8</v>
      </c>
      <c r="CP21" s="40" t="n">
        <v>11</v>
      </c>
      <c r="CQ21" s="40" t="n">
        <v>0.09</v>
      </c>
      <c r="CR21" s="40" t="n">
        <v>-5.8</v>
      </c>
      <c r="CS21" s="40" t="n">
        <v>-6</v>
      </c>
      <c r="CT21" s="40" t="n">
        <v>25</v>
      </c>
      <c r="CU21" s="40" t="n">
        <v>13</v>
      </c>
      <c r="CV21" s="40" t="n">
        <v>4628</v>
      </c>
      <c r="CW21" s="40" t="n">
        <v>5878</v>
      </c>
      <c r="CX21" s="40" t="n">
        <v>78.7</v>
      </c>
      <c r="CY21" s="40" t="n">
        <v>87341</v>
      </c>
      <c r="CZ21" s="40" t="n">
        <v>30524</v>
      </c>
      <c r="DA21" s="40" t="n">
        <v>1880</v>
      </c>
      <c r="DB21" s="40" t="n">
        <v>2169</v>
      </c>
      <c r="DC21" s="40" t="n">
        <v>86.7</v>
      </c>
      <c r="DD21" s="40" t="n">
        <v>2156</v>
      </c>
      <c r="DE21" s="40" t="n">
        <v>2489</v>
      </c>
      <c r="DF21" s="40" t="n">
        <v>86.59999999999999</v>
      </c>
      <c r="DG21" s="40" t="n">
        <v>506</v>
      </c>
      <c r="DH21" s="40" t="n">
        <v>984</v>
      </c>
      <c r="DI21" s="40" t="n">
        <v>51.4</v>
      </c>
      <c r="DJ21" s="40" t="n">
        <v>4</v>
      </c>
      <c r="DK21" s="40" t="n">
        <v>7.3</v>
      </c>
      <c r="DL21" s="40" t="n">
        <v>8.199999999999999</v>
      </c>
      <c r="DM21" s="40" t="n">
        <v>-3.3</v>
      </c>
      <c r="DN21" s="40" t="n">
        <v>84</v>
      </c>
      <c r="DO21" s="40" t="n">
        <v>378</v>
      </c>
      <c r="DP21" s="40" t="n">
        <v>101</v>
      </c>
      <c r="DQ21" s="40" t="n">
        <v>51</v>
      </c>
      <c r="DR21" s="40" t="n">
        <v>383</v>
      </c>
      <c r="DS21" s="40" t="n">
        <v>25</v>
      </c>
      <c r="DT21" s="40" t="n">
        <v>13</v>
      </c>
      <c r="DU21" s="40" t="n">
        <v>5878</v>
      </c>
      <c r="DV21" s="40" t="n">
        <v>5287</v>
      </c>
      <c r="DW21" s="40" t="n">
        <v>574</v>
      </c>
      <c r="DX21" s="40" t="n">
        <v>139</v>
      </c>
      <c r="DY21" s="40" t="n">
        <v>10</v>
      </c>
      <c r="DZ21" s="40" t="n">
        <v>27</v>
      </c>
      <c r="EA21" s="40" t="n">
        <v>265</v>
      </c>
      <c r="EB21" s="40" t="n">
        <v>260</v>
      </c>
      <c r="EC21" s="40" t="n">
        <v>40</v>
      </c>
      <c r="ED21" s="40" t="n">
        <v>32</v>
      </c>
      <c r="EE21" s="40" t="n">
        <v>5</v>
      </c>
      <c r="EF21" s="40" t="n">
        <v>0</v>
      </c>
      <c r="EG21" s="40" t="n">
        <v>4628</v>
      </c>
      <c r="EH21" s="40" t="n">
        <v>17</v>
      </c>
      <c r="EI21" s="40" t="n">
        <v>108</v>
      </c>
      <c r="EJ21" s="40" t="n">
        <v>25</v>
      </c>
      <c r="EK21" s="40" t="n">
        <v>13</v>
      </c>
      <c r="EL21" s="40" t="n">
        <v>269</v>
      </c>
      <c r="EM21" s="40" t="n">
        <v>148</v>
      </c>
      <c r="EN21" s="40" t="n">
        <v>137</v>
      </c>
      <c r="EO21" s="40" t="n">
        <v>93</v>
      </c>
      <c r="EP21" s="40" t="n">
        <v>39</v>
      </c>
      <c r="EQ21" s="40" t="n">
        <v>140</v>
      </c>
      <c r="ER21" s="40" t="n">
        <v>245</v>
      </c>
      <c r="ES21" s="40" t="n">
        <v>57.1</v>
      </c>
      <c r="ET21" s="40" t="n">
        <v>105</v>
      </c>
      <c r="EU21" s="40" t="n">
        <v>145</v>
      </c>
      <c r="EV21" s="40" t="n">
        <v>49</v>
      </c>
      <c r="EW21" s="40" t="n">
        <v>96</v>
      </c>
      <c r="EX21" s="40" t="n">
        <v>114</v>
      </c>
      <c r="EY21" s="40" t="n">
        <v>383</v>
      </c>
      <c r="EZ21" s="40" t="n">
        <v>403</v>
      </c>
      <c r="FA21" s="40" t="n">
        <v>14</v>
      </c>
      <c r="FB21" s="40" t="n">
        <v>25</v>
      </c>
      <c r="FC21" s="40" t="n">
        <v>47.3</v>
      </c>
      <c r="FD21" s="40" t="n">
        <v>13</v>
      </c>
      <c r="FE21" s="40" t="n">
        <v>7451</v>
      </c>
      <c r="FF21" s="40" t="n">
        <v>931</v>
      </c>
      <c r="FG21" s="40" t="n">
        <v>2550</v>
      </c>
      <c r="FH21" s="40" t="n">
        <v>3381</v>
      </c>
      <c r="FI21" s="40" t="n">
        <v>1593</v>
      </c>
      <c r="FJ21" s="40" t="n">
        <v>269</v>
      </c>
      <c r="FK21" s="40" t="n">
        <v>7450</v>
      </c>
      <c r="FL21" s="40" t="n">
        <v>180</v>
      </c>
      <c r="FM21" s="40" t="n">
        <v>78</v>
      </c>
      <c r="FN21" s="40" t="n">
        <v>43.3</v>
      </c>
      <c r="FO21" s="40" t="n">
        <v>84</v>
      </c>
      <c r="FP21" s="40" t="n">
        <v>46.7</v>
      </c>
      <c r="FQ21" s="40" t="n">
        <v>3898</v>
      </c>
      <c r="FR21" s="40" t="n">
        <v>19960</v>
      </c>
      <c r="FS21" s="40" t="n">
        <v>9982</v>
      </c>
      <c r="FT21" s="40" t="n">
        <v>182</v>
      </c>
      <c r="FU21" s="40" t="n">
        <v>143</v>
      </c>
      <c r="FV21" s="40" t="n">
        <v>28</v>
      </c>
      <c r="FW21" s="40" t="n">
        <v>212</v>
      </c>
      <c r="FX21" s="40" t="n">
        <v>111</v>
      </c>
      <c r="FY21" s="40" t="n">
        <v>4593</v>
      </c>
      <c r="FZ21" s="40" t="n">
        <v>380</v>
      </c>
      <c r="GA21" s="40" t="n">
        <v>25</v>
      </c>
      <c r="GB21" s="40" t="n">
        <v>26.8</v>
      </c>
      <c r="GC21" s="40" t="n">
        <v>13</v>
      </c>
      <c r="GD21" s="40" t="n">
        <v>1170</v>
      </c>
      <c r="GE21" s="40" t="n">
        <v>90</v>
      </c>
      <c r="GF21" s="40" t="n">
        <v>100</v>
      </c>
      <c r="GG21" s="40" t="n">
        <v>13</v>
      </c>
      <c r="GH21" s="40" t="n">
        <v>143</v>
      </c>
      <c r="GI21" s="40" t="n">
        <v>80</v>
      </c>
      <c r="GJ21" s="40" t="n">
        <v>82</v>
      </c>
      <c r="GK21" s="40" t="n">
        <v>59</v>
      </c>
      <c r="GL21" s="40" t="n">
        <v>23</v>
      </c>
      <c r="GM21" s="40" t="n">
        <v>58</v>
      </c>
      <c r="GN21" s="40" t="n">
        <v>0.15</v>
      </c>
      <c r="GO21" s="40" t="n">
        <v>7</v>
      </c>
      <c r="GP21" s="40" t="n">
        <v>28</v>
      </c>
      <c r="GQ21" s="40" t="n">
        <v>-21</v>
      </c>
      <c r="GR21" s="40" t="n">
        <v>-1.62</v>
      </c>
      <c r="GS21" s="40" t="n">
        <v>11.8</v>
      </c>
      <c r="GT21" s="40" t="n">
        <v>18.2</v>
      </c>
      <c r="GU21" s="40" t="n">
        <v>-6.4</v>
      </c>
      <c r="GV21" s="40" t="n">
        <v>-0.49</v>
      </c>
      <c r="GW21" s="40" t="n">
        <v>25</v>
      </c>
      <c r="GX21" s="40" t="n">
        <v>13</v>
      </c>
      <c r="GY21" s="40" t="n">
        <v>26</v>
      </c>
      <c r="GZ21" s="40" t="n">
        <v>2</v>
      </c>
      <c r="HA21" s="40" t="n">
        <v>0</v>
      </c>
      <c r="HB21" s="40" t="n">
        <v>182</v>
      </c>
      <c r="HC21" s="40" t="n">
        <v>123</v>
      </c>
      <c r="HD21" s="40" t="n">
        <v>17</v>
      </c>
      <c r="HE21" s="40" t="n">
        <v>265</v>
      </c>
      <c r="HF21" s="40" t="n">
        <v>114</v>
      </c>
      <c r="HG21" s="40" t="n">
        <v>148</v>
      </c>
      <c r="HH21" s="40" t="n">
        <v>1</v>
      </c>
      <c r="HI21" s="40" t="n">
        <v>0</v>
      </c>
      <c r="HJ21" s="40" t="n">
        <v>2</v>
      </c>
      <c r="HK21" s="40" t="n">
        <v>503</v>
      </c>
      <c r="HL21" s="40" t="n">
        <v>217</v>
      </c>
      <c r="HM21" s="40" t="n">
        <v>204</v>
      </c>
      <c r="HN21" s="40" t="n">
        <v>51.5</v>
      </c>
      <c r="HO21" s="40" t="n">
        <v>2</v>
      </c>
      <c r="HP21" s="40" t="n">
        <v>13</v>
      </c>
      <c r="HQ21" s="40" t="n">
        <v>13</v>
      </c>
      <c r="HR21" s="40" t="n">
        <v>1170</v>
      </c>
      <c r="HS21" s="40" t="n">
        <v>13</v>
      </c>
      <c r="HT21" s="40" t="n">
        <v>28</v>
      </c>
      <c r="HU21" s="40" t="n">
        <v>2.15</v>
      </c>
      <c r="HV21" s="40" t="n">
        <v>62</v>
      </c>
      <c r="HW21" s="40" t="n">
        <v>36</v>
      </c>
      <c r="HX21" s="40" t="n">
        <v>54.8</v>
      </c>
      <c r="HY21" s="40" t="n">
        <v>0</v>
      </c>
      <c r="HZ21" s="40" t="n">
        <v>2</v>
      </c>
      <c r="IA21" s="40" t="n">
        <v>11</v>
      </c>
      <c r="IB21" s="40" t="n">
        <v>0</v>
      </c>
      <c r="IC21" s="40" t="n">
        <v>0</v>
      </c>
      <c r="ID21" s="40" t="n">
        <v>0</v>
      </c>
      <c r="IE21" s="40" t="n">
        <v>0</v>
      </c>
      <c r="IF21" s="40" t="n">
        <v>0</v>
      </c>
      <c r="IG21" s="40" t="n">
        <v>0</v>
      </c>
      <c r="IH21" s="40" t="n">
        <v/>
      </c>
      <c r="II21" s="40" t="n">
        <v>2</v>
      </c>
      <c r="IJ21" s="40" t="n">
        <v>13</v>
      </c>
      <c r="IK21" s="40" t="n">
        <v>28</v>
      </c>
      <c r="IL21" s="40" t="n">
        <v>0</v>
      </c>
      <c r="IM21" s="40" t="n">
        <v>1</v>
      </c>
      <c r="IN21" s="40" t="n">
        <v>3</v>
      </c>
      <c r="IO21" s="40" t="n">
        <v>2</v>
      </c>
      <c r="IP21" s="40" t="n">
        <v>21.3</v>
      </c>
      <c r="IQ21" s="40" t="n">
        <v>0.34</v>
      </c>
      <c r="IR21" s="40" t="n">
        <v>-4.7</v>
      </c>
      <c r="IS21" s="40" t="n">
        <v>-0.36</v>
      </c>
      <c r="IT21" s="40" t="n">
        <v>103</v>
      </c>
      <c r="IU21" s="40" t="n">
        <v>270</v>
      </c>
      <c r="IV21" s="40" t="n">
        <v>38.1</v>
      </c>
      <c r="IW21" s="40" t="n">
        <v>414</v>
      </c>
      <c r="IX21" s="40" t="n">
        <v>62</v>
      </c>
      <c r="IY21" s="40" t="n">
        <v>50.2</v>
      </c>
      <c r="IZ21" s="40" t="n">
        <v>40</v>
      </c>
      <c r="JA21" s="40" t="n">
        <v>94</v>
      </c>
      <c r="JB21" s="40" t="n">
        <v>66</v>
      </c>
      <c r="JC21" s="40" t="n">
        <v>51.8</v>
      </c>
      <c r="JD21" s="40" t="n">
        <v>208</v>
      </c>
      <c r="JE21" s="40" t="n">
        <v>12</v>
      </c>
      <c r="JF21" s="40" t="n">
        <v>5.8</v>
      </c>
      <c r="JG21" s="40" t="n">
        <v>17</v>
      </c>
      <c r="JH21" s="40" t="n">
        <v>1.31</v>
      </c>
      <c r="JI21" s="40" t="n">
        <v>14.4</v>
      </c>
      <c r="JJ21" s="40" t="n">
        <v>13</v>
      </c>
      <c r="JK21" s="40" t="n">
        <v>11.8</v>
      </c>
      <c r="JL21" s="40" t="n">
        <v>47.3</v>
      </c>
      <c r="JM21" s="40" t="n">
        <v>121</v>
      </c>
      <c r="JN21" s="40" t="n">
        <v>39</v>
      </c>
      <c r="JO21" s="40" t="n">
        <v>32.2</v>
      </c>
      <c r="JP21" s="40" t="n">
        <v>11</v>
      </c>
      <c r="JQ21" s="40" t="n">
        <v>4628</v>
      </c>
      <c r="JR21" s="40" t="n">
        <v>5878</v>
      </c>
      <c r="JS21" s="40" t="n">
        <v>78.7</v>
      </c>
      <c r="JT21" s="40" t="n">
        <v>269</v>
      </c>
      <c r="JU21" s="40" t="n">
        <v>148</v>
      </c>
      <c r="JV21" s="40" t="n">
        <v>114</v>
      </c>
      <c r="JW21" s="40" t="n">
        <v>403</v>
      </c>
      <c r="JX21" s="40" t="n">
        <v>182</v>
      </c>
      <c r="JY21" s="40" t="n">
        <v>123</v>
      </c>
      <c r="JZ21" s="40" t="n">
        <v>26</v>
      </c>
      <c r="KA21" s="40" t="n">
        <v>2</v>
      </c>
      <c r="KB21" s="40" t="n">
        <v>0</v>
      </c>
      <c r="KC21" s="40" t="n">
        <v>32.2314049587</v>
      </c>
      <c r="KD21" s="40" t="n">
        <v>78.7</v>
      </c>
      <c r="KE21" s="40" t="n">
        <v>55.0185873606</v>
      </c>
    </row>
    <row r="22"/>
    <row r="23">
      <c r="A23" s="39" t="n"/>
      <c r="B23" s="39" t="n"/>
      <c r="C23" s="39" t="n"/>
      <c r="D23" s="39" t="n"/>
      <c r="E23" s="39" t="n"/>
      <c r="F23" s="39" t="n"/>
      <c r="G23" s="39" t="n"/>
      <c r="H23" s="39" t="n"/>
      <c r="I23" s="39" t="n"/>
      <c r="J23" s="39" t="n"/>
      <c r="K23" s="39" t="n"/>
      <c r="L23" s="39" t="n"/>
      <c r="M23" s="39" t="n"/>
      <c r="N23" s="39" t="n"/>
      <c r="O23" s="39" t="n"/>
      <c r="P23" s="39" t="n"/>
      <c r="Q23" s="39" t="n"/>
      <c r="R23" s="39" t="n"/>
      <c r="S23" s="39" t="n"/>
      <c r="T23" s="39" t="n"/>
      <c r="U23" s="39" t="n"/>
      <c r="V23" s="39" t="n"/>
      <c r="W23" s="39" t="n"/>
      <c r="X23" s="39" t="n"/>
      <c r="Y23" s="39" t="n"/>
      <c r="Z23" s="39" t="n"/>
      <c r="AA23" s="39" t="n"/>
      <c r="AB23" s="39" t="n"/>
      <c r="AC23" s="39" t="n"/>
      <c r="AD23" s="39" t="n"/>
      <c r="AE23" s="39" t="n"/>
      <c r="AF23" s="39" t="n"/>
      <c r="AG23" s="39" t="n"/>
      <c r="AH23" s="39" t="n"/>
      <c r="AI23" s="39" t="n"/>
      <c r="AJ23" s="39" t="n"/>
      <c r="AK23" s="39" t="n"/>
      <c r="AL23" s="39" t="n"/>
      <c r="AM23" s="39" t="n"/>
      <c r="AN23" s="39" t="n"/>
      <c r="AO23" s="39" t="n"/>
      <c r="AP23" s="39" t="n"/>
      <c r="AQ23" s="39" t="n"/>
      <c r="AR23" s="39" t="n"/>
      <c r="AS23" s="39" t="n"/>
      <c r="AT23" s="39" t="n"/>
      <c r="AU23" s="39" t="n"/>
      <c r="AV23" s="39" t="n"/>
      <c r="AW23" s="39" t="n"/>
      <c r="AX23" s="39" t="n"/>
      <c r="AY23" s="39" t="n"/>
      <c r="AZ23" s="39" t="n"/>
      <c r="BA23" s="39" t="n"/>
      <c r="BB23" s="39" t="n"/>
      <c r="BC23" s="39" t="n"/>
      <c r="BD23" s="39" t="n"/>
      <c r="BE23" s="39" t="n"/>
      <c r="BF23" s="39" t="n"/>
      <c r="BG23" s="39" t="n"/>
      <c r="BH23" s="39" t="n"/>
      <c r="BI23" s="39" t="n"/>
      <c r="BJ23" s="39" t="n"/>
      <c r="BK23" s="39" t="n"/>
      <c r="BL23" s="39" t="n"/>
      <c r="BM23" s="39" t="n"/>
      <c r="BN23" s="39" t="n"/>
      <c r="BO23" s="39" t="n"/>
      <c r="BP23" s="39" t="n"/>
      <c r="BQ23" s="39" t="n"/>
      <c r="BR23" s="39" t="n"/>
      <c r="BS23" s="39" t="n"/>
      <c r="BT23" s="39" t="n"/>
      <c r="BU23" s="39" t="n"/>
      <c r="BV23" s="39" t="n"/>
      <c r="BW23" s="39" t="n"/>
      <c r="BX23" s="39" t="n"/>
      <c r="BY23" s="39" t="n"/>
      <c r="BZ23" s="39" t="n"/>
      <c r="CA23" s="39" t="n"/>
      <c r="CB23" s="39" t="n"/>
      <c r="CC23" s="39" t="n"/>
      <c r="CD23" s="39" t="n"/>
      <c r="CE23" s="39" t="n"/>
      <c r="CF23" s="39" t="n"/>
      <c r="CG23" s="39" t="n"/>
      <c r="CH23" s="39" t="n"/>
      <c r="CI23" s="39" t="n"/>
      <c r="CJ23" s="39" t="n"/>
      <c r="CK23" s="39" t="n"/>
      <c r="CL23" s="39" t="n"/>
      <c r="CM23" s="39" t="n"/>
      <c r="CN23" s="39" t="n"/>
      <c r="CO23" s="39" t="n"/>
      <c r="CP23" s="39" t="n"/>
      <c r="CQ23" s="39" t="n"/>
      <c r="CR23" s="39" t="n"/>
      <c r="CS23" s="39" t="n"/>
      <c r="CT23" s="39" t="n"/>
      <c r="CU23" s="39" t="n"/>
      <c r="CV23" s="39" t="n"/>
      <c r="CW23" s="39" t="n"/>
      <c r="CX23" s="39" t="n"/>
      <c r="CY23" s="39" t="n"/>
      <c r="CZ23" s="39" t="n"/>
      <c r="DA23" s="39" t="n"/>
      <c r="DB23" s="39" t="n"/>
      <c r="DC23" s="39" t="n"/>
      <c r="DD23" s="39" t="n"/>
      <c r="DE23" s="39" t="n"/>
      <c r="DF23" s="39" t="n"/>
      <c r="DG23" s="39" t="n"/>
      <c r="DH23" s="39" t="n"/>
      <c r="DI23" s="39" t="n"/>
      <c r="DJ23" s="39" t="n"/>
      <c r="DK23" s="39" t="n"/>
      <c r="DL23" s="39" t="n"/>
      <c r="DM23" s="39" t="n"/>
      <c r="DN23" s="39" t="n"/>
      <c r="DO23" s="39" t="n"/>
      <c r="DP23" s="39" t="n"/>
      <c r="DQ23" s="39" t="n"/>
      <c r="DR23" s="39" t="n"/>
      <c r="DS23" s="39" t="n"/>
      <c r="DT23" s="39" t="n"/>
      <c r="DU23" s="39" t="n"/>
      <c r="DV23" s="39" t="n"/>
      <c r="DW23" s="39" t="n"/>
      <c r="DX23" s="39" t="n"/>
      <c r="DY23" s="39" t="n"/>
      <c r="DZ23" s="39" t="n"/>
      <c r="EA23" s="39" t="n"/>
      <c r="EB23" s="39" t="n"/>
      <c r="EC23" s="39" t="n"/>
      <c r="ED23" s="39" t="n"/>
      <c r="EE23" s="39" t="n"/>
      <c r="EF23" s="39" t="n"/>
      <c r="EG23" s="39" t="n"/>
      <c r="EH23" s="39" t="n"/>
      <c r="EI23" s="39" t="n"/>
      <c r="EJ23" s="39" t="n"/>
      <c r="EK23" s="39" t="n"/>
      <c r="EL23" s="39" t="n"/>
      <c r="EM23" s="39" t="n"/>
      <c r="EN23" s="39" t="n"/>
      <c r="EO23" s="39" t="n"/>
      <c r="EP23" s="39" t="n"/>
      <c r="EQ23" s="39" t="n"/>
      <c r="ER23" s="39" t="n"/>
      <c r="ES23" s="39" t="n"/>
      <c r="ET23" s="39" t="n"/>
      <c r="EU23" s="39" t="n"/>
      <c r="EV23" s="39" t="n"/>
      <c r="EW23" s="39" t="n"/>
      <c r="EX23" s="39" t="n"/>
      <c r="EY23" s="39" t="n"/>
      <c r="EZ23" s="39" t="n"/>
      <c r="FA23" s="39" t="n"/>
      <c r="FB23" s="39" t="n"/>
      <c r="FC23" s="39" t="n"/>
      <c r="FD23" s="39" t="n"/>
      <c r="FE23" s="39" t="n"/>
      <c r="FF23" s="39" t="n"/>
      <c r="FG23" s="39" t="n"/>
      <c r="FH23" s="39" t="n"/>
      <c r="FI23" s="39" t="n"/>
      <c r="FJ23" s="39" t="n"/>
      <c r="FK23" s="39" t="n"/>
      <c r="FL23" s="39" t="n"/>
      <c r="FM23" s="39" t="n"/>
      <c r="FN23" s="39" t="n"/>
      <c r="FO23" s="39" t="n"/>
      <c r="FP23" s="39" t="n"/>
      <c r="FQ23" s="39" t="n"/>
      <c r="FR23" s="39" t="n"/>
      <c r="FS23" s="39" t="n"/>
      <c r="FT23" s="39" t="n"/>
      <c r="FU23" s="39" t="n"/>
      <c r="FV23" s="39" t="n"/>
      <c r="FW23" s="39" t="n"/>
      <c r="FX23" s="39" t="n"/>
      <c r="FY23" s="39" t="n"/>
      <c r="FZ23" s="39" t="n"/>
      <c r="GA23" s="39" t="n"/>
      <c r="GB23" s="39" t="n"/>
      <c r="GC23" s="39" t="n"/>
      <c r="GD23" s="39" t="n"/>
      <c r="GE23" s="39" t="n"/>
      <c r="GF23" s="39" t="n"/>
      <c r="GG23" s="39" t="n"/>
      <c r="GH23" s="39" t="n"/>
      <c r="GI23" s="39" t="n"/>
      <c r="GJ23" s="39" t="n"/>
      <c r="GK23" s="39" t="n"/>
      <c r="GL23" s="39" t="n"/>
      <c r="GM23" s="39" t="n"/>
      <c r="GN23" s="39" t="n"/>
      <c r="GO23" s="39" t="n"/>
      <c r="GP23" s="39" t="n"/>
      <c r="GQ23" s="39" t="n"/>
      <c r="GR23" s="39" t="n"/>
      <c r="GS23" s="39" t="n"/>
      <c r="GT23" s="39" t="n"/>
      <c r="GU23" s="39" t="n"/>
      <c r="GV23" s="39" t="n"/>
      <c r="GW23" s="39" t="n"/>
      <c r="GX23" s="39" t="n"/>
      <c r="GY23" s="39" t="n"/>
      <c r="GZ23" s="39" t="n"/>
      <c r="HA23" s="39" t="n"/>
      <c r="HB23" s="39" t="n"/>
      <c r="HC23" s="39" t="n"/>
      <c r="HD23" s="39" t="n"/>
      <c r="HE23" s="39" t="n"/>
      <c r="HF23" s="39" t="n"/>
      <c r="HG23" s="39" t="n"/>
      <c r="HH23" s="39" t="n"/>
      <c r="HI23" s="39" t="n"/>
      <c r="HJ23" s="39" t="n"/>
      <c r="HK23" s="39" t="n"/>
      <c r="HL23" s="39" t="n"/>
      <c r="HM23" s="39" t="n"/>
      <c r="HN23" s="39" t="n"/>
      <c r="HO23" s="39" t="n"/>
      <c r="HP23" s="39" t="n"/>
      <c r="HQ23" s="39" t="n"/>
      <c r="HR23" s="39" t="n"/>
      <c r="HS23" s="39" t="n"/>
      <c r="HT23" s="39" t="n"/>
      <c r="HU23" s="39" t="n"/>
      <c r="HV23" s="39" t="n"/>
      <c r="HW23" s="39" t="n"/>
      <c r="HX23" s="39" t="n"/>
      <c r="HY23" s="39" t="n"/>
      <c r="HZ23" s="39" t="n"/>
      <c r="IA23" s="39" t="n"/>
      <c r="IB23" s="39" t="n"/>
      <c r="IC23" s="39" t="n"/>
      <c r="ID23" s="39" t="n"/>
      <c r="IE23" s="39" t="n"/>
      <c r="IF23" s="39" t="n"/>
      <c r="IG23" s="39" t="n"/>
      <c r="IH23" s="39" t="n"/>
      <c r="II23" s="39" t="n"/>
      <c r="IJ23" s="39" t="n"/>
      <c r="IK23" s="39" t="n"/>
      <c r="IL23" s="39" t="n"/>
      <c r="IM23" s="39" t="n"/>
      <c r="IN23" s="39" t="n"/>
      <c r="IO23" s="39" t="n"/>
      <c r="IP23" s="39" t="n"/>
      <c r="IQ23" s="39" t="n"/>
      <c r="IR23" s="39" t="n"/>
      <c r="IS23" s="39" t="n"/>
      <c r="IT23" s="39" t="n"/>
      <c r="IU23" s="39" t="n"/>
      <c r="IV23" s="39" t="n"/>
      <c r="IW23" s="39" t="n"/>
      <c r="IX23" s="39" t="n"/>
      <c r="IY23" s="39" t="n"/>
      <c r="IZ23" s="39" t="n"/>
      <c r="JA23" s="39" t="n"/>
      <c r="JB23" s="39" t="n"/>
      <c r="JC23" s="39" t="n"/>
      <c r="JD23" s="39" t="n"/>
      <c r="JE23" s="39" t="n"/>
      <c r="JF23" s="39" t="n"/>
      <c r="JG23" s="39" t="n"/>
      <c r="JH23" s="39" t="n"/>
      <c r="JI23" s="39" t="n"/>
      <c r="JJ23" s="39" t="n"/>
      <c r="JK23" s="39" t="n"/>
      <c r="JL23" s="39" t="n"/>
      <c r="JM23" s="39" t="n"/>
      <c r="JN23" s="39" t="n"/>
      <c r="JO23" s="39" t="n"/>
      <c r="JP23" s="39" t="n"/>
      <c r="JQ23" s="39" t="n"/>
      <c r="JR23" s="39" t="n"/>
      <c r="JS23" s="39" t="n"/>
      <c r="JT23" s="39" t="n"/>
      <c r="JU23" s="39" t="n"/>
      <c r="JV23" s="39" t="n"/>
      <c r="JW23" s="39" t="n"/>
      <c r="JX23" s="39" t="n"/>
      <c r="JY23" s="39" t="n"/>
      <c r="JZ23" s="39" t="n"/>
      <c r="KA23" s="39" t="n"/>
      <c r="KB23" s="39" t="n"/>
      <c r="KC23" s="39" t="n"/>
      <c r="KD23" s="39" t="n"/>
      <c r="KE23" s="39" t="n"/>
    </row>
  </sheetData>
  <autoFilter ref="A1:HL21"/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Benjamin Waring</dc:creator>
  <dcterms:created xmlns:dcterms="http://purl.org/dc/terms/" xmlns:xsi="http://www.w3.org/2001/XMLSchema-instance" xsi:type="dcterms:W3CDTF">2024-04-21T22:05:44Z</dcterms:created>
  <dcterms:modified xmlns:dcterms="http://purl.org/dc/terms/" xmlns:xsi="http://www.w3.org/2001/XMLSchema-instance" xsi:type="dcterms:W3CDTF">2025-12-01T19:17:32Z</dcterms:modified>
  <cp:lastModifiedBy>Tim Heineccius</cp:lastModifiedBy>
</cp:coreProperties>
</file>